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50" yWindow="4680" windowWidth="21600" windowHeight="11505" tabRatio="834" activeTab="3"/>
  </bookViews>
  <sheets>
    <sheet name="Personal Minimums" sheetId="8" r:id="rId1"/>
    <sheet name="Preflight Risk Assessment" sheetId="7" r:id="rId2"/>
    <sheet name="Weight and Balance" sheetId="1" r:id="rId3"/>
    <sheet name="Takeoff" sheetId="5" r:id="rId4"/>
    <sheet name="Landing" sheetId="6" r:id="rId5"/>
    <sheet name="Tables" sheetId="2" r:id="rId6"/>
    <sheet name="Old_Takeoff Roll" sheetId="3" state="hidden" r:id="rId7"/>
  </sheets>
  <definedNames>
    <definedName name="CLR2200_DATA">Tables!$I$27:$M$35</definedName>
    <definedName name="CLR2400_DATA">Tables!$I$15:$M$23</definedName>
    <definedName name="CLR2550_DATA">Tables!$I$3:$M$11</definedName>
    <definedName name="L50CLR">Tables!$W$3:$AA$11</definedName>
    <definedName name="LGR">Tables!$P$3:$T$11</definedName>
    <definedName name="_xlnm.Print_Area" localSheetId="4">Landing!$A$1:$K$43</definedName>
    <definedName name="_xlnm.Print_Area" localSheetId="0">'Personal Minimums'!$A$1:$G$56</definedName>
    <definedName name="_xlnm.Print_Area" localSheetId="5">Tables!$A$1</definedName>
    <definedName name="_xlnm.Print_Area" localSheetId="3">Takeoff!$A$1:$J$44</definedName>
    <definedName name="_xlnm.Print_Area" localSheetId="2">'Weight and Balance'!$A$1:$G$50</definedName>
    <definedName name="TO2200_ALT">Tables!$A$27:$A$35</definedName>
    <definedName name="TO2200_DATA">Tables!$B$27:$F$35</definedName>
    <definedName name="TO2200_T">Tables!$B$26:$F$26</definedName>
    <definedName name="TO2400_ALT">Tables!$A$15:$A$23</definedName>
    <definedName name="TO2400_DATA">Tables!$B$15:$F$23</definedName>
    <definedName name="TO2400_T">Tables!$B$14:$F$14</definedName>
    <definedName name="TO2550_ALT">Tables!$A$3:$A$11</definedName>
    <definedName name="TO2550_DATA">Tables!$B$3:$F$11</definedName>
    <definedName name="TO2550_T">Tables!$B$2:$F$2</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9" i="6" l="1"/>
  <c r="B19" i="5"/>
  <c r="G18" i="7" l="1"/>
  <c r="B26" i="6" l="1"/>
  <c r="D10" i="6"/>
  <c r="D10" i="5"/>
  <c r="B24" i="6"/>
  <c r="I16" i="6"/>
  <c r="J16" i="6" s="1"/>
  <c r="H16" i="6"/>
  <c r="G18" i="6"/>
  <c r="G19" i="6" s="1"/>
  <c r="B14" i="6"/>
  <c r="B16" i="6" s="1"/>
  <c r="I6" i="6"/>
  <c r="J6" i="6" s="1"/>
  <c r="H6" i="6"/>
  <c r="H19" i="6" l="1"/>
  <c r="J19" i="6"/>
  <c r="G8" i="6"/>
  <c r="B15" i="6"/>
  <c r="G17" i="6"/>
  <c r="H17" i="6" s="1"/>
  <c r="I33" i="5"/>
  <c r="H33" i="5" s="1"/>
  <c r="I26" i="5"/>
  <c r="H26" i="5" s="1"/>
  <c r="G35" i="5"/>
  <c r="G36" i="5" s="1"/>
  <c r="I13" i="5"/>
  <c r="J13" i="5" s="1"/>
  <c r="I6" i="5"/>
  <c r="H6" i="5" s="1"/>
  <c r="B26" i="5"/>
  <c r="B24" i="5"/>
  <c r="B16" i="5"/>
  <c r="D16" i="5" s="1"/>
  <c r="B31" i="3"/>
  <c r="B29" i="3"/>
  <c r="B14" i="3"/>
  <c r="B16" i="3" s="1"/>
  <c r="B35" i="3"/>
  <c r="B26" i="3"/>
  <c r="B25" i="3"/>
  <c r="B24" i="3"/>
  <c r="B21" i="3"/>
  <c r="C10" i="1"/>
  <c r="J17" i="6" l="1"/>
  <c r="G15" i="5"/>
  <c r="G14" i="5" s="1"/>
  <c r="G9" i="6"/>
  <c r="G7" i="6"/>
  <c r="D15" i="6"/>
  <c r="B25" i="6"/>
  <c r="J33" i="5"/>
  <c r="G28" i="5"/>
  <c r="G27" i="5" s="1"/>
  <c r="G34" i="5"/>
  <c r="J26" i="5"/>
  <c r="J6" i="5"/>
  <c r="G8" i="5"/>
  <c r="H13" i="5"/>
  <c r="B15" i="5"/>
  <c r="B15" i="3"/>
  <c r="C6" i="1"/>
  <c r="C7" i="1"/>
  <c r="E7" i="1" s="1"/>
  <c r="C5" i="1"/>
  <c r="E5" i="1" s="1"/>
  <c r="C3" i="1"/>
  <c r="E3" i="1" s="1"/>
  <c r="C4" i="1"/>
  <c r="E4" i="1" s="1"/>
  <c r="E10" i="1"/>
  <c r="C9" i="1"/>
  <c r="E9" i="1" s="1"/>
  <c r="C8" i="1"/>
  <c r="E8" i="1" s="1"/>
  <c r="B15" i="1"/>
  <c r="E6" i="1"/>
  <c r="B24" i="1"/>
  <c r="D12" i="1"/>
  <c r="E12" i="1" s="1"/>
  <c r="J7" i="6" l="1"/>
  <c r="H7" i="6"/>
  <c r="J9" i="6"/>
  <c r="H9" i="6"/>
  <c r="H8" i="6" s="1"/>
  <c r="G16" i="5"/>
  <c r="G29" i="5"/>
  <c r="H18" i="6"/>
  <c r="J18" i="6"/>
  <c r="I18" i="6" s="1"/>
  <c r="B23" i="6" s="1"/>
  <c r="D15" i="5"/>
  <c r="B25" i="5"/>
  <c r="G9" i="5"/>
  <c r="G7" i="5"/>
  <c r="B30" i="3"/>
  <c r="D15" i="3"/>
  <c r="C11" i="1"/>
  <c r="C13" i="1" s="1"/>
  <c r="B4" i="6" s="1"/>
  <c r="E11" i="1"/>
  <c r="E13" i="1" s="1"/>
  <c r="J8" i="6" l="1"/>
  <c r="I8" i="6" s="1"/>
  <c r="B22" i="6" s="1"/>
  <c r="B30" i="6" s="1"/>
  <c r="B28" i="6"/>
  <c r="C48" i="1"/>
  <c r="B4" i="5"/>
  <c r="B4" i="3"/>
  <c r="B32" i="3"/>
  <c r="B33" i="3"/>
  <c r="D13" i="1"/>
  <c r="C14" i="1"/>
  <c r="D14" i="1" s="1"/>
  <c r="B25" i="1"/>
  <c r="C25" i="1" s="1"/>
  <c r="B16" i="1"/>
  <c r="B17" i="1" s="1"/>
  <c r="D11" i="1"/>
  <c r="F48" i="1" s="1"/>
  <c r="B27" i="6" l="1"/>
  <c r="G11" i="5"/>
  <c r="G31" i="5"/>
  <c r="G24" i="5"/>
  <c r="G19" i="5"/>
  <c r="G39" i="5" s="1"/>
  <c r="G4" i="5"/>
  <c r="F25" i="1"/>
  <c r="D25" i="1"/>
  <c r="E25" i="1"/>
  <c r="G18" i="5" l="1"/>
  <c r="J9" i="5"/>
  <c r="H9" i="5"/>
  <c r="J7" i="5"/>
  <c r="H7" i="5"/>
  <c r="J27" i="5"/>
  <c r="H27" i="5"/>
  <c r="G38" i="5"/>
  <c r="J29" i="5"/>
  <c r="H29" i="5"/>
  <c r="G20" i="5"/>
  <c r="H14" i="5"/>
  <c r="J16" i="5"/>
  <c r="J14" i="5"/>
  <c r="H16" i="5"/>
  <c r="G40" i="5"/>
  <c r="H36" i="5"/>
  <c r="J36" i="5"/>
  <c r="J34" i="5"/>
  <c r="H34" i="5"/>
  <c r="H15" i="5" l="1"/>
  <c r="H8" i="5"/>
  <c r="J8" i="5"/>
  <c r="H28" i="5"/>
  <c r="J28" i="5"/>
  <c r="J15" i="5"/>
  <c r="J35" i="5"/>
  <c r="H35" i="5"/>
  <c r="I15" i="5" l="1"/>
  <c r="H20" i="5" s="1"/>
  <c r="I28" i="5"/>
  <c r="H38" i="5" s="1"/>
  <c r="I8" i="5"/>
  <c r="H18" i="5" s="1"/>
  <c r="I35" i="5"/>
  <c r="H40" i="5" s="1"/>
  <c r="H39" i="5" l="1"/>
  <c r="B23" i="5" s="1"/>
  <c r="B28" i="5" s="1"/>
  <c r="H19" i="5"/>
  <c r="B22" i="5" s="1"/>
  <c r="B27" i="5" s="1"/>
</calcChain>
</file>

<file path=xl/sharedStrings.xml><?xml version="1.0" encoding="utf-8"?>
<sst xmlns="http://schemas.openxmlformats.org/spreadsheetml/2006/main" count="440" uniqueCount="237">
  <si>
    <t>Weight</t>
  </si>
  <si>
    <t>Moment</t>
  </si>
  <si>
    <t xml:space="preserve">  2. CG = Total Moment / Total Weight     (Multiply results by 1,000)</t>
  </si>
  <si>
    <t>Input Data</t>
  </si>
  <si>
    <t>Take Off Weight:</t>
  </si>
  <si>
    <t>Arm:</t>
  </si>
  <si>
    <t>Arm</t>
  </si>
  <si>
    <t xml:space="preserve"> Basic Empty Weight</t>
  </si>
  <si>
    <t xml:space="preserve"> Crew: Pilot</t>
  </si>
  <si>
    <t xml:space="preserve">            Co-pilot</t>
  </si>
  <si>
    <t xml:space="preserve"> Passengers: Left Rear</t>
  </si>
  <si>
    <t xml:space="preserve">                       Right Rear</t>
  </si>
  <si>
    <t xml:space="preserve"> Baggage</t>
  </si>
  <si>
    <t xml:space="preserve"> Cargo Area</t>
  </si>
  <si>
    <t xml:space="preserve"> Fuel (Gallons)</t>
  </si>
  <si>
    <t xml:space="preserve"> Gross Weight</t>
  </si>
  <si>
    <t xml:space="preserve"> Less Runup Fuel</t>
  </si>
  <si>
    <t xml:space="preserve"> Total Take Off Weight</t>
  </si>
  <si>
    <t xml:space="preserve"> Maximum Gross Weight</t>
  </si>
  <si>
    <t xml:space="preserve"> Maximum Useful Load</t>
  </si>
  <si>
    <t xml:space="preserve"> Useful Load on this Flight</t>
  </si>
  <si>
    <t xml:space="preserve"> Available Useful Load</t>
  </si>
  <si>
    <t xml:space="preserve"> Notes:</t>
  </si>
  <si>
    <t xml:space="preserve">Maximum Gross Weight   </t>
  </si>
  <si>
    <t xml:space="preserve">Flying Weight   </t>
  </si>
  <si>
    <t xml:space="preserve">  1. Moment = (Weight x Arm) / 1000</t>
  </si>
  <si>
    <r>
      <t>V</t>
    </r>
    <r>
      <rPr>
        <b/>
        <vertAlign val="subscript"/>
        <sz val="10"/>
        <rFont val="Times New Roman"/>
        <family val="1"/>
      </rPr>
      <t>A</t>
    </r>
  </si>
  <si>
    <r>
      <t>V</t>
    </r>
    <r>
      <rPr>
        <b/>
        <vertAlign val="subscript"/>
        <sz val="10"/>
        <rFont val="Times New Roman"/>
        <family val="1"/>
      </rPr>
      <t>Glide</t>
    </r>
  </si>
  <si>
    <r>
      <t>V</t>
    </r>
    <r>
      <rPr>
        <b/>
        <vertAlign val="subscript"/>
        <sz val="10"/>
        <rFont val="Times New Roman"/>
        <family val="1"/>
      </rPr>
      <t>SO</t>
    </r>
  </si>
  <si>
    <r>
      <t>V</t>
    </r>
    <r>
      <rPr>
        <b/>
        <vertAlign val="subscript"/>
        <sz val="10"/>
        <rFont val="Times New Roman"/>
        <family val="1"/>
      </rPr>
      <t>S</t>
    </r>
  </si>
  <si>
    <t>Item</t>
  </si>
  <si>
    <r>
      <t>C172S V</t>
    </r>
    <r>
      <rPr>
        <b/>
        <vertAlign val="subscript"/>
        <sz val="10"/>
        <rFont val="Times New Roman"/>
        <family val="1"/>
      </rPr>
      <t>Speeds</t>
    </r>
  </si>
  <si>
    <t>Last Revision: March 26, 2021 (C.W.E.)</t>
  </si>
  <si>
    <t>ft</t>
  </si>
  <si>
    <t>ft (MSL)</t>
  </si>
  <si>
    <t>Temperature</t>
  </si>
  <si>
    <t>°C</t>
  </si>
  <si>
    <t>Units</t>
  </si>
  <si>
    <t>lbs</t>
  </si>
  <si>
    <t>Notes</t>
  </si>
  <si>
    <t>from Weight and Balance</t>
  </si>
  <si>
    <t>Selected Weight</t>
  </si>
  <si>
    <t>Field Altimeter Setting</t>
  </si>
  <si>
    <t>in Hg</t>
  </si>
  <si>
    <t>Pressure Altitude</t>
  </si>
  <si>
    <t>Field Elevation</t>
  </si>
  <si>
    <t>Runway Length</t>
  </si>
  <si>
    <t>AIRFIELD DATA</t>
  </si>
  <si>
    <t>AIRCRAFT DATA</t>
  </si>
  <si>
    <t>Selected Temperature</t>
  </si>
  <si>
    <t>must be greater or equal to temp</t>
  </si>
  <si>
    <t>must be greater or equal to weight</t>
  </si>
  <si>
    <t>Selected Altitude</t>
  </si>
  <si>
    <t>Temerature</t>
  </si>
  <si>
    <t>Total to Clear 50Ft Obstacle</t>
  </si>
  <si>
    <t>lookup value from tables to the right</t>
  </si>
  <si>
    <t>Is Aifeild Length Adequate?</t>
  </si>
  <si>
    <t>must be greater or equal to pressure altitude</t>
  </si>
  <si>
    <t>TAKEOFF ROLL 2400 POUNDS</t>
  </si>
  <si>
    <t>TAKEOFF ROLL 2550 POUNDS</t>
  </si>
  <si>
    <t>TAKEOFF ROLL 2200 POUNDS</t>
  </si>
  <si>
    <t>50 FT CLEAR 2550 POUNDS</t>
  </si>
  <si>
    <t>Runway Material</t>
  </si>
  <si>
    <t>Flaps</t>
  </si>
  <si>
    <t>0°</t>
  </si>
  <si>
    <t>Table Ground Roll</t>
  </si>
  <si>
    <t>Calculated Ground Roll</t>
  </si>
  <si>
    <t>Runway Heading</t>
  </si>
  <si>
    <t>PVMNT</t>
  </si>
  <si>
    <t>Wind Direction</t>
  </si>
  <si>
    <t>Wind Speed</t>
  </si>
  <si>
    <t>kt</t>
  </si>
  <si>
    <t>°/10</t>
  </si>
  <si>
    <t>Crosswind</t>
  </si>
  <si>
    <t>Headwind</t>
  </si>
  <si>
    <t>Angle of Wind Off Runway</t>
  </si>
  <si>
    <t>Flaps Correction</t>
  </si>
  <si>
    <t>Headwind Correction</t>
  </si>
  <si>
    <t>Runway Correction</t>
  </si>
  <si>
    <t>Calculated Total to Clear 50ft Obstacle</t>
  </si>
  <si>
    <t>50 FT CLEAR 2400 POUNDS</t>
  </si>
  <si>
    <t>50 FT CLEAR 2200 POUNDS</t>
  </si>
  <si>
    <t>Weight 1</t>
  </si>
  <si>
    <t>Weight 2</t>
  </si>
  <si>
    <t>Temp1</t>
  </si>
  <si>
    <t>Temp 2</t>
  </si>
  <si>
    <t>ALT 1</t>
  </si>
  <si>
    <t>ALT 2</t>
  </si>
  <si>
    <t>Actual</t>
  </si>
  <si>
    <t>Presure Altitude</t>
  </si>
  <si>
    <t>Act Wt.</t>
  </si>
  <si>
    <t>Ground Roll Interpolation</t>
  </si>
  <si>
    <t>Calc Total to Clear 50ft Obstacle</t>
  </si>
  <si>
    <t>calculated on the next page</t>
  </si>
  <si>
    <t>CESSNA 172SP</t>
  </si>
  <si>
    <t>CESSNA 172SP - N167UD</t>
  </si>
  <si>
    <t>TAKEOFF CALCULATION</t>
  </si>
  <si>
    <t>LANDING CALCULATION</t>
  </si>
  <si>
    <t>LANDING GROUND ROLL 2550 POUNDS</t>
  </si>
  <si>
    <t>LANDING 50FT CLEARANCE 2550 POUNDS</t>
  </si>
  <si>
    <t xml:space="preserve">  01 to 36</t>
  </si>
  <si>
    <t>Last Revision: April 4, 2021 (C.W.E.)</t>
  </si>
  <si>
    <t>50ft Obstacle Clearace Interpolation</t>
  </si>
  <si>
    <t>30°</t>
  </si>
  <si>
    <t>Rating</t>
  </si>
  <si>
    <t>Terrain</t>
  </si>
  <si>
    <t>Flat Urban</t>
  </si>
  <si>
    <t>Flat Remote</t>
  </si>
  <si>
    <t>High Rugged Remote</t>
  </si>
  <si>
    <t>Day/Night</t>
  </si>
  <si>
    <t>Day</t>
  </si>
  <si>
    <t>Night - Full Moon</t>
  </si>
  <si>
    <t>Night - No Moon</t>
  </si>
  <si>
    <t>CFI/ATP</t>
  </si>
  <si>
    <t>Commercial</t>
  </si>
  <si>
    <t>PPL wIFR</t>
  </si>
  <si>
    <t>PPL</t>
  </si>
  <si>
    <t>Student</t>
  </si>
  <si>
    <t xml:space="preserve">Pilot Rating
</t>
  </si>
  <si>
    <t>Rest in last 24 hours</t>
  </si>
  <si>
    <t>&gt;7</t>
  </si>
  <si>
    <t>6-7hrs</t>
  </si>
  <si>
    <t>3-5hrs</t>
  </si>
  <si>
    <t>&lt;3hrs</t>
  </si>
  <si>
    <t xml:space="preserve">Visibility
</t>
  </si>
  <si>
    <t>10-15 miles</t>
  </si>
  <si>
    <t>&gt;15 miles</t>
  </si>
  <si>
    <t>6-9 miles</t>
  </si>
  <si>
    <t>3-5 miles</t>
  </si>
  <si>
    <t>&lt;3 miles</t>
  </si>
  <si>
    <t xml:space="preserve">Ceiling
</t>
  </si>
  <si>
    <t>&gt;10,000</t>
  </si>
  <si>
    <t>5,000-9,000</t>
  </si>
  <si>
    <t>3,000-4,000</t>
  </si>
  <si>
    <t>1,000-2,000</t>
  </si>
  <si>
    <t>&lt;1,000</t>
  </si>
  <si>
    <t>Departure Crosswind</t>
  </si>
  <si>
    <t>Destination Crosswind</t>
  </si>
  <si>
    <t>0-5 kts</t>
  </si>
  <si>
    <t>6-10 kts</t>
  </si>
  <si>
    <t>11-15 kts</t>
  </si>
  <si>
    <t>16-20 kts</t>
  </si>
  <si>
    <t>&gt; 20 kts</t>
  </si>
  <si>
    <t>Weather Stability</t>
  </si>
  <si>
    <t>Stable</t>
  </si>
  <si>
    <t>Slow Deterioration</t>
  </si>
  <si>
    <t>Rapid Deterioration</t>
  </si>
  <si>
    <t>Destination Airport Familiarity</t>
  </si>
  <si>
    <t>Yes</t>
  </si>
  <si>
    <t>No</t>
  </si>
  <si>
    <t>Hours in Aircraft Type</t>
  </si>
  <si>
    <t>&gt;200</t>
  </si>
  <si>
    <t>151-199</t>
  </si>
  <si>
    <t>100-150</t>
  </si>
  <si>
    <t>50-99</t>
  </si>
  <si>
    <t>&lt;50</t>
  </si>
  <si>
    <t>Hours in 
Last 90 days</t>
  </si>
  <si>
    <t>&gt;20</t>
  </si>
  <si>
    <t>15-20</t>
  </si>
  <si>
    <t>10-14</t>
  </si>
  <si>
    <t>5-9</t>
  </si>
  <si>
    <t>&lt;5</t>
  </si>
  <si>
    <t xml:space="preserve">Total Hours
</t>
  </si>
  <si>
    <t>&gt;2,000</t>
  </si>
  <si>
    <t>501-2,000</t>
  </si>
  <si>
    <t>251-500</t>
  </si>
  <si>
    <t>100-250</t>
  </si>
  <si>
    <t>&lt;100</t>
  </si>
  <si>
    <t>Total Risk Score</t>
  </si>
  <si>
    <t>14-30</t>
  </si>
  <si>
    <t>31-47</t>
  </si>
  <si>
    <t>48-63
OR 
5 in any 2 rows</t>
  </si>
  <si>
    <t>No unusual hazards.  Use normal flight planning and established personal minimums and operating procedures.</t>
  </si>
  <si>
    <t>Somewhat risier than ususal.  Conduct Flight Planning with extra care. Review personal minimums and operating procedures to ensure that all standards are being met.  Consider alternatives to reduce risk.</t>
  </si>
  <si>
    <t>1
2
3</t>
  </si>
  <si>
    <t>1
2</t>
  </si>
  <si>
    <t>Conditions present much higher than normal risk. Conduct flight planning with extra care and review all elements to identify those that could be modified to reduce risk. If available, consult with more experinced pilot or instructor for guidance before flight.  Develop contingnecy plans before flight to deal with high risk items. Decide beforehand on alternatives and brief passengers and other crewmembers on special precaustions to be taken during the flight. Consider delaying flight until conditions improve and risk is reduced.</t>
  </si>
  <si>
    <t>1
2
3
4
5
6
7</t>
  </si>
  <si>
    <t>Before each flight, assess each of the following conditions and assign a numerical fating of 1 to 5 in the right hand (Rating) column.</t>
  </si>
  <si>
    <t>Add up the entries in the Rating column to obtain an overall risk estimate, and see where it falls in the Green/Yellow/Red Risk Chart</t>
  </si>
  <si>
    <t>PREFLIGHT RISK ASSESSMENT
(Version 2.0)</t>
  </si>
  <si>
    <t>PERSONAL MINIMUMS
(Version 2.0)</t>
  </si>
  <si>
    <t>Experince/Recency</t>
  </si>
  <si>
    <t>Days since last Takeoffs/Landings</t>
  </si>
  <si>
    <t>Days since last Takeoffs/Landings in Aircraft Type</t>
  </si>
  <si>
    <t xml:space="preserve">Days since time Make/Model of Aircraft </t>
  </si>
  <si>
    <t>Terrain and Airspace Familiarity?</t>
  </si>
  <si>
    <t>Y</t>
  </si>
  <si>
    <t>Aircraft Performance</t>
  </si>
  <si>
    <t>Are we under Gross Max Wt?</t>
  </si>
  <si>
    <t>Is the Load distributed appropriately?</t>
  </si>
  <si>
    <t>Is the Density Altitude Calculated?</t>
  </si>
  <si>
    <t>Are performance Calculations Completed?</t>
  </si>
  <si>
    <t>Fuel Reserves</t>
  </si>
  <si>
    <t>Night</t>
  </si>
  <si>
    <t>hours</t>
  </si>
  <si>
    <t>(0.5 minimum, per FAR 91.151)</t>
  </si>
  <si>
    <t>(0.75 minimum, per FAR 91.151)</t>
  </si>
  <si>
    <t>Airport Conditions</t>
  </si>
  <si>
    <t>N/A</t>
  </si>
  <si>
    <t>Maximum Crosswind Component</t>
  </si>
  <si>
    <t>Maximum Headwind Component</t>
  </si>
  <si>
    <t>kts</t>
  </si>
  <si>
    <t>Minimum Runway Takeoff Length</t>
  </si>
  <si>
    <t>Minimum Runway Landing Length</t>
  </si>
  <si>
    <t>Minimum Runway Takeoff Width</t>
  </si>
  <si>
    <t>Minimum Runway Landing Width</t>
  </si>
  <si>
    <t>Trip Planning</t>
  </si>
  <si>
    <t>Allowance for Delays</t>
  </si>
  <si>
    <t>min</t>
  </si>
  <si>
    <t>Potential alternate Airports</t>
  </si>
  <si>
    <t>Can the flight be Completed on an Alternate Date?</t>
  </si>
  <si>
    <t>Flight Plan Filed?</t>
  </si>
  <si>
    <t>Physical Condition</t>
  </si>
  <si>
    <t>Minimum hours of sleep in the last 24 hours</t>
  </si>
  <si>
    <t>Minimum hours since alcohol consumption</t>
  </si>
  <si>
    <t xml:space="preserve">Minimum hours since consumption of food and water </t>
  </si>
  <si>
    <t>Minimum hours since last stressful event</t>
  </si>
  <si>
    <t>Minimum days since last illness</t>
  </si>
  <si>
    <t>Aircraft Equipment</t>
  </si>
  <si>
    <t>Familiarity with Avionics NAV/COM (GPS Model)</t>
  </si>
  <si>
    <t>Appropriate Survivial Grear</t>
  </si>
  <si>
    <t>Gear:</t>
  </si>
  <si>
    <t>Weather</t>
  </si>
  <si>
    <t>Hours since last weather report and forecast review</t>
  </si>
  <si>
    <t>Minimum ceiling for day flight</t>
  </si>
  <si>
    <t>Minimum ceiling for night flight</t>
  </si>
  <si>
    <t>Minimum visibility for night flight</t>
  </si>
  <si>
    <t>Minimum visibility for day flight</t>
  </si>
  <si>
    <t>mi</t>
  </si>
  <si>
    <t>Personal Equipment</t>
  </si>
  <si>
    <t>Medical Cert</t>
  </si>
  <si>
    <t>Pilot Cert</t>
  </si>
  <si>
    <t>Drivers Lic</t>
  </si>
  <si>
    <t>Aero Charts</t>
  </si>
  <si>
    <t>Credit Cards</t>
  </si>
  <si>
    <t>Cell Phone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</si>
</sst>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General_)"/>
    <numFmt numFmtId="165" formatCode="#.00"/>
    <numFmt numFmtId="166" formatCode="#."/>
    <numFmt numFmtId="167" formatCode="m\o\n\th\ d\,\ yyyy"/>
    <numFmt numFmtId="168" formatCode="0.00_)"/>
    <numFmt numFmtId="169" formatCode="0_);[Red]\(0\)"/>
    <numFmt numFmtId="170" formatCode="0.0"/>
  </numFmts>
  <fonts count="39" x14ac:knownFonts="1">
    <font>
      <sz val="12"/>
      <name val="Courier"/>
    </font>
    <font>
      <sz val="8"/>
      <name val="Times New Roman"/>
      <family val="1"/>
    </font>
    <font>
      <sz val="1"/>
      <color indexed="8"/>
      <name val="Courier"/>
      <family val="3"/>
    </font>
    <font>
      <b/>
      <sz val="1"/>
      <color indexed="8"/>
      <name val="Courier"/>
      <family val="3"/>
    </font>
    <font>
      <sz val="10"/>
      <color indexed="8"/>
      <name val="Times New Roman"/>
      <family val="1"/>
    </font>
    <font>
      <sz val="10"/>
      <name val="Times New Roman"/>
      <family val="1"/>
    </font>
    <font>
      <sz val="10"/>
      <color indexed="12"/>
      <name val="Times New Roman"/>
      <family val="1"/>
    </font>
    <font>
      <sz val="8"/>
      <name val="Arial"/>
      <family val="2"/>
    </font>
    <font>
      <b/>
      <sz val="10"/>
      <name val="Arial"/>
      <family val="2"/>
    </font>
    <font>
      <b/>
      <sz val="11"/>
      <name val="Arial"/>
      <family val="2"/>
    </font>
    <font>
      <sz val="10"/>
      <name val="Arial"/>
      <family val="2"/>
    </font>
    <font>
      <sz val="8"/>
      <name val="Courier"/>
      <family val="3"/>
    </font>
    <font>
      <sz val="10"/>
      <color indexed="8"/>
      <name val="Calibri"/>
      <family val="2"/>
    </font>
    <font>
      <sz val="10"/>
      <name val="Calibri"/>
      <family val="2"/>
    </font>
    <font>
      <sz val="12"/>
      <name val="Calibri"/>
      <family val="2"/>
    </font>
    <font>
      <b/>
      <sz val="8"/>
      <name val="Calibri"/>
      <family val="2"/>
    </font>
    <font>
      <sz val="8"/>
      <name val="Calibri"/>
      <family val="2"/>
    </font>
    <font>
      <b/>
      <sz val="10"/>
      <color indexed="9"/>
      <name val="Times New Roman"/>
      <family val="1"/>
    </font>
    <font>
      <b/>
      <sz val="12"/>
      <name val="Times New Roman"/>
      <family val="1"/>
    </font>
    <font>
      <b/>
      <sz val="10"/>
      <color indexed="8"/>
      <name val="Times New Roman"/>
      <family val="1"/>
    </font>
    <font>
      <sz val="10"/>
      <color indexed="8"/>
      <name val="Times New Roman"/>
      <family val="1"/>
    </font>
    <font>
      <sz val="12"/>
      <name val="Times New Roman"/>
      <family val="1"/>
    </font>
    <font>
      <sz val="10"/>
      <color indexed="10"/>
      <name val="Times New Roman"/>
      <family val="1"/>
    </font>
    <font>
      <b/>
      <sz val="10"/>
      <name val="Times New Roman"/>
      <family val="1"/>
    </font>
    <font>
      <sz val="10"/>
      <name val="Times New Roman"/>
      <family val="1"/>
    </font>
    <font>
      <b/>
      <vertAlign val="subscript"/>
      <sz val="10"/>
      <name val="Times New Roman"/>
      <family val="1"/>
    </font>
    <font>
      <sz val="8"/>
      <name val="Times New Roman"/>
      <family val="1"/>
    </font>
    <font>
      <b/>
      <sz val="8"/>
      <name val="Times New Roman"/>
      <family val="1"/>
    </font>
    <font>
      <sz val="12"/>
      <name val="Arial"/>
      <family val="2"/>
    </font>
    <font>
      <b/>
      <sz val="12"/>
      <name val="Courier"/>
      <family val="3"/>
    </font>
    <font>
      <b/>
      <sz val="12"/>
      <name val="Courier"/>
      <family val="3"/>
    </font>
    <font>
      <sz val="12"/>
      <name val="Courier"/>
      <family val="3"/>
    </font>
    <font>
      <sz val="16"/>
      <color indexed="8"/>
      <name val="Times New Roman"/>
      <family val="1"/>
    </font>
    <font>
      <sz val="16"/>
      <name val="Courier"/>
      <family val="3"/>
    </font>
    <font>
      <b/>
      <sz val="16"/>
      <name val="Courier"/>
      <family val="3"/>
    </font>
    <font>
      <b/>
      <sz val="16"/>
      <color indexed="8"/>
      <name val="Times New Roman"/>
      <family val="1"/>
    </font>
    <font>
      <sz val="12"/>
      <color theme="0"/>
      <name val="Courier"/>
      <family val="3"/>
    </font>
    <font>
      <sz val="10"/>
      <name val="Courier"/>
      <family val="3"/>
    </font>
    <font>
      <b/>
      <sz val="12"/>
      <color indexed="9"/>
      <name val="Times New Roman"/>
      <family val="1"/>
    </font>
  </fonts>
  <fills count="10">
    <fill>
      <patternFill patternType="none"/>
    </fill>
    <fill>
      <patternFill patternType="gray125"/>
    </fill>
    <fill>
      <patternFill patternType="solid">
        <fgColor indexed="43"/>
        <bgColor indexed="64"/>
      </patternFill>
    </fill>
    <fill>
      <patternFill patternType="solid">
        <fgColor rgb="FF00B050"/>
        <bgColor indexed="64"/>
      </patternFill>
    </fill>
    <fill>
      <patternFill patternType="solid">
        <fgColor rgb="FF92D050"/>
        <bgColor indexed="64"/>
      </patternFill>
    </fill>
    <fill>
      <patternFill patternType="solid">
        <fgColor rgb="FFFFFF99"/>
        <bgColor indexed="64"/>
      </patternFill>
    </fill>
    <fill>
      <patternFill patternType="solid">
        <fgColor rgb="FFFFFF66"/>
        <bgColor indexed="64"/>
      </patternFill>
    </fill>
    <fill>
      <patternFill patternType="solid">
        <fgColor rgb="FFFF7C80"/>
        <bgColor indexed="64"/>
      </patternFill>
    </fill>
    <fill>
      <patternFill patternType="solid">
        <fgColor theme="0" tint="-0.249977111117893"/>
        <bgColor indexed="64"/>
      </patternFill>
    </fill>
    <fill>
      <patternFill patternType="solid">
        <fgColor rgb="FFFFFFCC"/>
        <bgColor indexed="64"/>
      </patternFill>
    </fill>
  </fills>
  <borders count="18">
    <border>
      <left/>
      <right/>
      <top/>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s>
  <cellStyleXfs count="7">
    <xf numFmtId="164" fontId="0" fillId="0" borderId="0"/>
    <xf numFmtId="43" fontId="1" fillId="0" borderId="0" applyFont="0" applyFill="0" applyBorder="0" applyAlignment="0" applyProtection="0"/>
    <xf numFmtId="167" fontId="2" fillId="0" borderId="0">
      <protection locked="0"/>
    </xf>
    <xf numFmtId="165" fontId="2" fillId="0" borderId="0">
      <protection locked="0"/>
    </xf>
    <xf numFmtId="166" fontId="3" fillId="0" borderId="0">
      <protection locked="0"/>
    </xf>
    <xf numFmtId="166" fontId="3" fillId="0" borderId="0">
      <protection locked="0"/>
    </xf>
    <xf numFmtId="166" fontId="2" fillId="0" borderId="1">
      <protection locked="0"/>
    </xf>
  </cellStyleXfs>
  <cellXfs count="154">
    <xf numFmtId="164" fontId="0" fillId="0" borderId="0" xfId="0"/>
    <xf numFmtId="164" fontId="4" fillId="0" borderId="0" xfId="0" applyFont="1" applyFill="1" applyBorder="1" applyAlignment="1">
      <alignment vertical="center"/>
    </xf>
    <xf numFmtId="164" fontId="5" fillId="0" borderId="0" xfId="0" applyFont="1" applyBorder="1" applyAlignment="1">
      <alignment vertical="center"/>
    </xf>
    <xf numFmtId="164" fontId="5" fillId="0" borderId="0" xfId="0" applyFont="1" applyAlignment="1">
      <alignment vertical="center"/>
    </xf>
    <xf numFmtId="164" fontId="0" fillId="0" borderId="0" xfId="0" applyAlignment="1">
      <alignment vertical="center"/>
    </xf>
    <xf numFmtId="164" fontId="5" fillId="0" borderId="0" xfId="0" applyFont="1" applyBorder="1" applyAlignment="1" applyProtection="1">
      <alignment horizontal="left" vertical="center"/>
    </xf>
    <xf numFmtId="39" fontId="6" fillId="0" borderId="0" xfId="0" applyNumberFormat="1" applyFont="1" applyBorder="1" applyAlignment="1" applyProtection="1">
      <alignment vertical="center"/>
      <protection locked="0"/>
    </xf>
    <xf numFmtId="164" fontId="7" fillId="0" borderId="0" xfId="0" applyFont="1" applyAlignment="1">
      <alignment vertical="center"/>
    </xf>
    <xf numFmtId="164" fontId="4" fillId="0" borderId="0" xfId="0" applyFont="1" applyFill="1" applyBorder="1" applyAlignment="1">
      <alignment horizontal="center" vertical="center"/>
    </xf>
    <xf numFmtId="164" fontId="8" fillId="0" borderId="0" xfId="0" applyFont="1" applyAlignment="1">
      <alignment horizontal="center" vertical="center"/>
    </xf>
    <xf numFmtId="164" fontId="8" fillId="0" borderId="0" xfId="0" applyFont="1" applyAlignment="1">
      <alignment horizontal="right" vertical="center"/>
    </xf>
    <xf numFmtId="164" fontId="9" fillId="0" borderId="0" xfId="0" applyFont="1" applyAlignment="1">
      <alignment horizontal="center" vertical="center"/>
    </xf>
    <xf numFmtId="164" fontId="10" fillId="0" borderId="0" xfId="0" applyFont="1" applyAlignment="1">
      <alignment vertical="center"/>
    </xf>
    <xf numFmtId="164" fontId="12" fillId="0" borderId="0" xfId="0" applyFont="1" applyFill="1" applyBorder="1" applyAlignment="1">
      <alignment vertical="center"/>
    </xf>
    <xf numFmtId="164" fontId="13" fillId="0" borderId="0" xfId="0" applyFont="1" applyBorder="1" applyAlignment="1">
      <alignment vertical="center"/>
    </xf>
    <xf numFmtId="168" fontId="12" fillId="0" borderId="0" xfId="0" applyNumberFormat="1" applyFont="1" applyFill="1" applyBorder="1" applyAlignment="1" applyProtection="1">
      <alignment vertical="center"/>
    </xf>
    <xf numFmtId="164" fontId="12" fillId="0" borderId="0" xfId="0" applyFont="1" applyFill="1" applyBorder="1" applyAlignment="1">
      <alignment horizontal="center" vertical="center"/>
    </xf>
    <xf numFmtId="164" fontId="13" fillId="0" borderId="0" xfId="0" applyFont="1" applyAlignment="1">
      <alignment vertical="center"/>
    </xf>
    <xf numFmtId="164" fontId="13" fillId="0" borderId="0" xfId="0" applyFont="1" applyAlignment="1">
      <alignment horizontal="center"/>
    </xf>
    <xf numFmtId="164" fontId="14" fillId="0" borderId="0" xfId="0" applyFont="1" applyAlignment="1">
      <alignment vertical="center"/>
    </xf>
    <xf numFmtId="164" fontId="15" fillId="0" borderId="0" xfId="0" applyFont="1" applyAlignment="1">
      <alignment vertical="center"/>
    </xf>
    <xf numFmtId="164" fontId="16" fillId="0" borderId="0" xfId="0" applyFont="1" applyAlignment="1">
      <alignment vertical="center"/>
    </xf>
    <xf numFmtId="164" fontId="14" fillId="0" borderId="0" xfId="0" applyFont="1" applyAlignment="1">
      <alignment horizontal="center" vertical="center"/>
    </xf>
    <xf numFmtId="164" fontId="13" fillId="0" borderId="0" xfId="0" applyFont="1" applyBorder="1" applyAlignment="1">
      <alignment horizontal="center" vertical="center"/>
    </xf>
    <xf numFmtId="164" fontId="0" fillId="0" borderId="0" xfId="0" applyAlignment="1">
      <alignment horizontal="center" vertical="center"/>
    </xf>
    <xf numFmtId="164" fontId="5" fillId="0" borderId="0" xfId="0" applyFont="1" applyBorder="1" applyAlignment="1">
      <alignment horizontal="center" vertical="center"/>
    </xf>
    <xf numFmtId="164" fontId="20" fillId="0" borderId="0" xfId="0" applyFont="1" applyFill="1" applyBorder="1" applyAlignment="1" applyProtection="1">
      <alignment vertical="center"/>
    </xf>
    <xf numFmtId="37" fontId="20" fillId="2" borderId="0" xfId="0" applyNumberFormat="1" applyFont="1" applyFill="1" applyBorder="1" applyAlignment="1" applyProtection="1">
      <alignment horizontal="center"/>
    </xf>
    <xf numFmtId="37" fontId="20" fillId="0" borderId="0" xfId="0" applyNumberFormat="1" applyFont="1" applyFill="1" applyBorder="1" applyAlignment="1" applyProtection="1">
      <alignment horizontal="center"/>
    </xf>
    <xf numFmtId="43" fontId="20" fillId="0" borderId="0" xfId="1" applyFont="1" applyFill="1" applyBorder="1" applyAlignment="1" applyProtection="1">
      <alignment horizontal="center"/>
    </xf>
    <xf numFmtId="39" fontId="20" fillId="0" borderId="0" xfId="0" applyNumberFormat="1" applyFont="1" applyFill="1" applyBorder="1" applyAlignment="1" applyProtection="1">
      <alignment horizontal="center" vertical="center"/>
    </xf>
    <xf numFmtId="164" fontId="20" fillId="2" borderId="0" xfId="0" applyFont="1" applyFill="1" applyBorder="1" applyAlignment="1" applyProtection="1">
      <alignment horizontal="center" vertical="center"/>
      <protection locked="0"/>
    </xf>
    <xf numFmtId="164" fontId="20" fillId="0" borderId="0" xfId="0" applyFont="1" applyFill="1" applyBorder="1" applyAlignment="1" applyProtection="1">
      <alignment horizontal="center"/>
      <protection locked="0"/>
    </xf>
    <xf numFmtId="37" fontId="20" fillId="2" borderId="0" xfId="0" applyNumberFormat="1" applyFont="1" applyFill="1" applyBorder="1" applyAlignment="1" applyProtection="1">
      <alignment horizontal="center" vertical="center"/>
      <protection locked="0"/>
    </xf>
    <xf numFmtId="164" fontId="20" fillId="0" borderId="2" xfId="0" applyFont="1" applyFill="1" applyBorder="1" applyAlignment="1" applyProtection="1">
      <alignment vertical="center"/>
    </xf>
    <xf numFmtId="164" fontId="20" fillId="2" borderId="2" xfId="0" applyFont="1" applyFill="1" applyBorder="1" applyAlignment="1" applyProtection="1">
      <alignment horizontal="center" vertical="center"/>
      <protection locked="0"/>
    </xf>
    <xf numFmtId="37" fontId="20" fillId="0" borderId="2" xfId="0" applyNumberFormat="1" applyFont="1" applyFill="1" applyBorder="1" applyAlignment="1" applyProtection="1">
      <alignment horizontal="center"/>
    </xf>
    <xf numFmtId="43" fontId="20" fillId="0" borderId="2" xfId="1" applyFont="1" applyFill="1" applyBorder="1" applyAlignment="1" applyProtection="1">
      <alignment horizontal="center"/>
    </xf>
    <xf numFmtId="39" fontId="20" fillId="0" borderId="2" xfId="0" applyNumberFormat="1" applyFont="1" applyFill="1" applyBorder="1" applyAlignment="1" applyProtection="1">
      <alignment horizontal="center" vertical="center"/>
    </xf>
    <xf numFmtId="37" fontId="19" fillId="0" borderId="0" xfId="0" applyNumberFormat="1" applyFont="1" applyFill="1" applyBorder="1" applyAlignment="1" applyProtection="1">
      <alignment horizontal="center" vertical="center"/>
    </xf>
    <xf numFmtId="43" fontId="19" fillId="0" borderId="0" xfId="1" applyFont="1" applyFill="1" applyBorder="1" applyAlignment="1" applyProtection="1">
      <alignment horizontal="center" vertical="center"/>
    </xf>
    <xf numFmtId="39" fontId="19" fillId="0" borderId="0" xfId="0" applyNumberFormat="1" applyFont="1" applyFill="1" applyBorder="1" applyAlignment="1" applyProtection="1">
      <alignment horizontal="center" vertical="center"/>
    </xf>
    <xf numFmtId="3" fontId="22" fillId="0" borderId="3" xfId="0" applyNumberFormat="1" applyFont="1" applyFill="1" applyBorder="1" applyAlignment="1" applyProtection="1">
      <alignment horizontal="center" vertical="center"/>
    </xf>
    <xf numFmtId="168" fontId="20" fillId="0" borderId="3" xfId="0" applyNumberFormat="1" applyFont="1" applyFill="1" applyBorder="1" applyAlignment="1" applyProtection="1">
      <alignment horizontal="center" vertical="center"/>
    </xf>
    <xf numFmtId="4" fontId="22" fillId="0" borderId="3" xfId="0" applyNumberFormat="1" applyFont="1" applyFill="1" applyBorder="1" applyAlignment="1" applyProtection="1">
      <alignment horizontal="center" vertical="center"/>
    </xf>
    <xf numFmtId="37" fontId="19" fillId="0" borderId="2" xfId="0" applyNumberFormat="1" applyFont="1" applyFill="1" applyBorder="1" applyAlignment="1" applyProtection="1">
      <alignment horizontal="center" vertical="center"/>
    </xf>
    <xf numFmtId="43" fontId="19" fillId="0" borderId="1" xfId="1" applyFont="1" applyFill="1" applyBorder="1" applyAlignment="1" applyProtection="1">
      <alignment horizontal="center" vertical="center"/>
    </xf>
    <xf numFmtId="39" fontId="19" fillId="0" borderId="2" xfId="1" applyNumberFormat="1" applyFont="1" applyFill="1" applyBorder="1" applyAlignment="1" applyProtection="1">
      <alignment horizontal="center" vertical="center"/>
    </xf>
    <xf numFmtId="164" fontId="19" fillId="0" borderId="0" xfId="0" applyFont="1" applyFill="1" applyBorder="1" applyAlignment="1" applyProtection="1">
      <alignment horizontal="center" vertical="center"/>
    </xf>
    <xf numFmtId="169" fontId="23" fillId="0" borderId="0" xfId="0" applyNumberFormat="1" applyFont="1" applyFill="1" applyBorder="1" applyAlignment="1" applyProtection="1">
      <alignment horizontal="center" vertical="center"/>
    </xf>
    <xf numFmtId="164" fontId="20" fillId="0" borderId="0" xfId="0" applyFont="1" applyFill="1" applyBorder="1" applyAlignment="1">
      <alignment horizontal="center" vertical="center"/>
    </xf>
    <xf numFmtId="1" fontId="19" fillId="0" borderId="0" xfId="0" applyNumberFormat="1" applyFont="1" applyFill="1" applyBorder="1" applyAlignment="1" applyProtection="1">
      <alignment horizontal="center" vertical="center"/>
    </xf>
    <xf numFmtId="164" fontId="20" fillId="0" borderId="0" xfId="0" applyFont="1" applyFill="1" applyBorder="1" applyAlignment="1">
      <alignment vertical="center"/>
    </xf>
    <xf numFmtId="164" fontId="23" fillId="0" borderId="0" xfId="0" applyFont="1" applyAlignment="1">
      <alignment vertical="center"/>
    </xf>
    <xf numFmtId="164" fontId="24" fillId="0" borderId="0" xfId="0" applyFont="1" applyAlignment="1">
      <alignment vertical="center"/>
    </xf>
    <xf numFmtId="164" fontId="24" fillId="0" borderId="0" xfId="0" applyFont="1" applyAlignment="1">
      <alignment horizontal="center" vertical="center"/>
    </xf>
    <xf numFmtId="164" fontId="24" fillId="0" borderId="0" xfId="0" quotePrefix="1" applyFont="1" applyAlignment="1">
      <alignment vertical="center"/>
    </xf>
    <xf numFmtId="164" fontId="23" fillId="0" borderId="0" xfId="0" applyFont="1" applyAlignment="1">
      <alignment horizontal="center"/>
    </xf>
    <xf numFmtId="164" fontId="23" fillId="0" borderId="0" xfId="0" applyFont="1" applyAlignment="1">
      <alignment horizontal="right"/>
    </xf>
    <xf numFmtId="164" fontId="24" fillId="0" borderId="0" xfId="0" applyFont="1" applyAlignment="1">
      <alignment horizontal="center"/>
    </xf>
    <xf numFmtId="164" fontId="23" fillId="0" borderId="0" xfId="0" applyFont="1" applyAlignment="1">
      <alignment horizontal="right" vertical="center"/>
    </xf>
    <xf numFmtId="164" fontId="23" fillId="0" borderId="0" xfId="0" applyFont="1" applyAlignment="1">
      <alignment horizontal="center" vertical="center"/>
    </xf>
    <xf numFmtId="164" fontId="21" fillId="0" borderId="0" xfId="0" applyFont="1" applyAlignment="1">
      <alignment horizontal="center" vertical="center"/>
    </xf>
    <xf numFmtId="164" fontId="26" fillId="0" borderId="0" xfId="0" applyFont="1" applyAlignment="1">
      <alignment vertical="center"/>
    </xf>
    <xf numFmtId="164" fontId="24" fillId="0" borderId="0" xfId="0" applyFont="1" applyBorder="1" applyAlignment="1">
      <alignment vertical="center"/>
    </xf>
    <xf numFmtId="164" fontId="24" fillId="0" borderId="0" xfId="0" applyFont="1" applyBorder="1" applyAlignment="1">
      <alignment horizontal="center" vertical="center"/>
    </xf>
    <xf numFmtId="164" fontId="27" fillId="0" borderId="0" xfId="0" applyFont="1" applyBorder="1" applyAlignment="1">
      <alignment vertical="center"/>
    </xf>
    <xf numFmtId="164" fontId="19" fillId="0" borderId="3" xfId="0" applyFont="1" applyFill="1" applyBorder="1" applyAlignment="1" applyProtection="1">
      <alignment horizontal="center" vertical="center"/>
    </xf>
    <xf numFmtId="164" fontId="4" fillId="0" borderId="0" xfId="0" applyFont="1" applyFill="1" applyBorder="1" applyAlignment="1" applyProtection="1">
      <alignment vertical="center"/>
    </xf>
    <xf numFmtId="37" fontId="4" fillId="0" borderId="0" xfId="0" applyNumberFormat="1" applyFont="1" applyFill="1" applyBorder="1" applyAlignment="1" applyProtection="1">
      <alignment horizontal="left"/>
    </xf>
    <xf numFmtId="164" fontId="4" fillId="0" borderId="0" xfId="0" applyFont="1" applyFill="1" applyBorder="1" applyAlignment="1" applyProtection="1">
      <alignment horizontal="center"/>
      <protection locked="0"/>
    </xf>
    <xf numFmtId="164" fontId="4" fillId="0" borderId="0" xfId="0" applyFont="1" applyFill="1" applyBorder="1" applyAlignment="1" applyProtection="1">
      <alignment horizontal="left"/>
      <protection locked="0"/>
    </xf>
    <xf numFmtId="164" fontId="4" fillId="0" borderId="0" xfId="0" applyFont="1" applyFill="1" applyBorder="1" applyAlignment="1" applyProtection="1">
      <alignment horizontal="center" vertical="center"/>
    </xf>
    <xf numFmtId="164" fontId="4" fillId="0" borderId="0" xfId="0" applyFont="1" applyFill="1" applyBorder="1" applyAlignment="1" applyProtection="1">
      <alignment horizontal="left" vertical="center"/>
    </xf>
    <xf numFmtId="164" fontId="19" fillId="0" borderId="0" xfId="0" applyFont="1" applyFill="1" applyBorder="1" applyAlignment="1" applyProtection="1">
      <alignment horizontal="left" vertical="center"/>
    </xf>
    <xf numFmtId="39" fontId="20" fillId="2" borderId="0" xfId="0" applyNumberFormat="1" applyFont="1" applyFill="1" applyBorder="1" applyAlignment="1" applyProtection="1">
      <alignment horizontal="center"/>
    </xf>
    <xf numFmtId="37" fontId="19" fillId="0" borderId="0" xfId="0" applyNumberFormat="1" applyFont="1" applyFill="1" applyBorder="1" applyAlignment="1" applyProtection="1">
      <alignment horizontal="left"/>
    </xf>
    <xf numFmtId="164" fontId="4" fillId="0" borderId="0" xfId="0" applyFont="1" applyFill="1" applyBorder="1" applyAlignment="1" applyProtection="1">
      <alignment horizontal="left" vertical="center" wrapText="1"/>
    </xf>
    <xf numFmtId="164" fontId="4" fillId="0" borderId="0" xfId="0" applyFont="1" applyFill="1" applyBorder="1" applyAlignment="1" applyProtection="1">
      <protection locked="0"/>
    </xf>
    <xf numFmtId="164" fontId="5" fillId="0" borderId="0" xfId="0" applyFont="1" applyAlignment="1">
      <alignment horizontal="center"/>
    </xf>
    <xf numFmtId="164" fontId="19" fillId="0" borderId="0" xfId="0" applyFont="1" applyFill="1" applyBorder="1" applyAlignment="1" applyProtection="1">
      <alignment vertical="center"/>
    </xf>
    <xf numFmtId="164" fontId="19" fillId="2" borderId="0" xfId="0" applyFont="1" applyFill="1" applyBorder="1" applyAlignment="1" applyProtection="1">
      <alignment horizontal="center" vertical="center"/>
      <protection locked="0"/>
    </xf>
    <xf numFmtId="164" fontId="19" fillId="0" borderId="0" xfId="0" applyFont="1" applyFill="1" applyBorder="1" applyAlignment="1" applyProtection="1">
      <alignment horizontal="left"/>
      <protection locked="0"/>
    </xf>
    <xf numFmtId="164" fontId="20" fillId="4" borderId="0" xfId="0" applyFont="1" applyFill="1" applyBorder="1" applyAlignment="1" applyProtection="1">
      <alignment horizontal="center" vertical="center"/>
      <protection locked="0"/>
    </xf>
    <xf numFmtId="37" fontId="20" fillId="4" borderId="0" xfId="0" applyNumberFormat="1" applyFont="1" applyFill="1" applyBorder="1" applyAlignment="1" applyProtection="1">
      <alignment horizontal="center"/>
    </xf>
    <xf numFmtId="43" fontId="4" fillId="0" borderId="0" xfId="1" applyFont="1" applyFill="1" applyBorder="1" applyAlignment="1" applyProtection="1">
      <alignment horizontal="left" vertical="top"/>
    </xf>
    <xf numFmtId="164" fontId="28" fillId="0" borderId="0" xfId="0" applyFont="1"/>
    <xf numFmtId="164" fontId="0" fillId="0" borderId="0" xfId="0" applyAlignment="1">
      <alignment horizontal="center"/>
    </xf>
    <xf numFmtId="164" fontId="28" fillId="0" borderId="0" xfId="0" applyFont="1" applyAlignment="1">
      <alignment horizontal="center" vertical="center"/>
    </xf>
    <xf numFmtId="37" fontId="20" fillId="5" borderId="0" xfId="0" applyNumberFormat="1" applyFont="1" applyFill="1" applyBorder="1" applyAlignment="1" applyProtection="1">
      <alignment horizontal="center"/>
    </xf>
    <xf numFmtId="37" fontId="4" fillId="0" borderId="0" xfId="0" quotePrefix="1" applyNumberFormat="1" applyFont="1" applyFill="1" applyBorder="1" applyAlignment="1" applyProtection="1">
      <alignment horizontal="left"/>
    </xf>
    <xf numFmtId="2" fontId="4" fillId="0" borderId="0" xfId="0" applyNumberFormat="1" applyFont="1" applyFill="1" applyBorder="1" applyAlignment="1" applyProtection="1">
      <alignment horizontal="center"/>
      <protection locked="0"/>
    </xf>
    <xf numFmtId="170" fontId="4" fillId="0" borderId="0" xfId="0" applyNumberFormat="1" applyFont="1" applyFill="1" applyBorder="1" applyAlignment="1" applyProtection="1">
      <alignment horizontal="center"/>
      <protection locked="0"/>
    </xf>
    <xf numFmtId="1" fontId="19" fillId="0" borderId="0" xfId="0" applyNumberFormat="1" applyFont="1" applyFill="1" applyBorder="1" applyAlignment="1" applyProtection="1">
      <alignment horizontal="center"/>
      <protection locked="0"/>
    </xf>
    <xf numFmtId="164" fontId="19" fillId="0" borderId="0" xfId="0" applyFont="1" applyFill="1" applyBorder="1" applyAlignment="1" applyProtection="1">
      <alignment vertical="center" wrapText="1"/>
    </xf>
    <xf numFmtId="170" fontId="0" fillId="0" borderId="0" xfId="0" applyNumberFormat="1" applyAlignment="1">
      <alignment horizontal="center"/>
    </xf>
    <xf numFmtId="164" fontId="4" fillId="2" borderId="0" xfId="0" applyFont="1" applyFill="1" applyBorder="1" applyAlignment="1" applyProtection="1">
      <alignment horizontal="center" vertical="center"/>
      <protection locked="0"/>
    </xf>
    <xf numFmtId="37" fontId="20" fillId="0" borderId="0" xfId="0" applyNumberFormat="1" applyFont="1" applyFill="1" applyBorder="1" applyAlignment="1" applyProtection="1">
      <alignment horizontal="center" vertical="center"/>
      <protection locked="0"/>
    </xf>
    <xf numFmtId="164" fontId="28" fillId="0" borderId="0" xfId="0" applyFont="1" applyAlignment="1">
      <alignment horizontal="center" vertical="center"/>
    </xf>
    <xf numFmtId="164" fontId="29" fillId="0" borderId="0" xfId="0" applyFont="1" applyAlignment="1">
      <alignment vertical="center"/>
    </xf>
    <xf numFmtId="2" fontId="0" fillId="0" borderId="0" xfId="0" applyNumberFormat="1" applyAlignment="1">
      <alignment vertical="center"/>
    </xf>
    <xf numFmtId="2" fontId="0" fillId="0" borderId="0" xfId="0" applyNumberFormat="1" applyAlignment="1">
      <alignment horizontal="center" vertical="center"/>
    </xf>
    <xf numFmtId="164" fontId="29" fillId="0" borderId="0" xfId="0" applyFont="1" applyAlignment="1">
      <alignment horizontal="center"/>
    </xf>
    <xf numFmtId="164" fontId="0" fillId="0" borderId="0" xfId="0" applyAlignment="1">
      <alignment horizontal="center" wrapText="1"/>
    </xf>
    <xf numFmtId="164" fontId="36" fillId="0" borderId="0" xfId="0" applyFont="1" applyAlignment="1">
      <alignment wrapText="1"/>
    </xf>
    <xf numFmtId="164" fontId="33" fillId="0" borderId="6" xfId="0" applyFont="1" applyBorder="1"/>
    <xf numFmtId="164" fontId="34" fillId="0" borderId="7" xfId="0" applyFont="1" applyBorder="1" applyAlignment="1">
      <alignment horizontal="center"/>
    </xf>
    <xf numFmtId="164" fontId="34" fillId="0" borderId="8" xfId="0" applyFont="1" applyBorder="1" applyAlignment="1">
      <alignment horizontal="center"/>
    </xf>
    <xf numFmtId="37" fontId="32" fillId="6" borderId="10" xfId="0" applyNumberFormat="1" applyFont="1" applyFill="1" applyBorder="1" applyAlignment="1" applyProtection="1">
      <alignment horizontal="center" vertical="center" wrapText="1"/>
    </xf>
    <xf numFmtId="37" fontId="32" fillId="7" borderId="13" xfId="0" applyNumberFormat="1" applyFont="1" applyFill="1" applyBorder="1" applyAlignment="1" applyProtection="1">
      <alignment horizontal="center" vertical="center" wrapText="1"/>
    </xf>
    <xf numFmtId="37" fontId="35" fillId="0" borderId="16" xfId="0" applyNumberFormat="1" applyFont="1" applyFill="1" applyBorder="1" applyAlignment="1" applyProtection="1">
      <alignment horizontal="center" vertical="center" wrapText="1"/>
    </xf>
    <xf numFmtId="37" fontId="32" fillId="4" borderId="8" xfId="0" applyNumberFormat="1" applyFont="1" applyFill="1" applyBorder="1" applyAlignment="1" applyProtection="1">
      <alignment horizontal="center" vertical="center" wrapText="1"/>
    </xf>
    <xf numFmtId="164" fontId="31" fillId="0" borderId="9" xfId="0" applyFont="1" applyBorder="1" applyAlignment="1">
      <alignment horizontal="center" vertical="center" wrapText="1"/>
    </xf>
    <xf numFmtId="164" fontId="31" fillId="0" borderId="5" xfId="0" applyFont="1" applyBorder="1" applyAlignment="1">
      <alignment horizontal="center" vertical="center" wrapText="1"/>
    </xf>
    <xf numFmtId="164" fontId="31" fillId="0" borderId="5" xfId="0" applyFont="1" applyBorder="1" applyAlignment="1">
      <alignment vertical="center"/>
    </xf>
    <xf numFmtId="164" fontId="31" fillId="0" borderId="5" xfId="0" quotePrefix="1" applyFont="1" applyBorder="1" applyAlignment="1">
      <alignment horizontal="center" vertical="center" wrapText="1"/>
    </xf>
    <xf numFmtId="164" fontId="31" fillId="8" borderId="5" xfId="0" applyFont="1" applyFill="1" applyBorder="1" applyAlignment="1">
      <alignment horizontal="center" vertical="center" wrapText="1"/>
    </xf>
    <xf numFmtId="164" fontId="37" fillId="0" borderId="5" xfId="0" applyFont="1" applyBorder="1" applyAlignment="1">
      <alignment horizontal="center" vertical="center" wrapText="1"/>
    </xf>
    <xf numFmtId="37" fontId="32" fillId="9" borderId="10" xfId="0" applyNumberFormat="1" applyFont="1" applyFill="1" applyBorder="1" applyAlignment="1" applyProtection="1">
      <alignment horizontal="center" vertical="center" wrapText="1"/>
    </xf>
    <xf numFmtId="164" fontId="0" fillId="0" borderId="3" xfId="0" applyBorder="1"/>
    <xf numFmtId="164" fontId="0" fillId="0" borderId="17" xfId="0" applyBorder="1" applyAlignment="1">
      <alignment horizontal="center"/>
    </xf>
    <xf numFmtId="164" fontId="0" fillId="5" borderId="3" xfId="0" applyFill="1" applyBorder="1" applyAlignment="1">
      <alignment horizontal="center"/>
    </xf>
    <xf numFmtId="164" fontId="0" fillId="5" borderId="17" xfId="0" applyFill="1" applyBorder="1" applyAlignment="1">
      <alignment horizontal="center"/>
    </xf>
    <xf numFmtId="164" fontId="30" fillId="0" borderId="0" xfId="0" applyFont="1"/>
    <xf numFmtId="164" fontId="29" fillId="0" borderId="5" xfId="0" applyFont="1" applyBorder="1" applyAlignment="1">
      <alignment horizontal="center"/>
    </xf>
    <xf numFmtId="164" fontId="0" fillId="0" borderId="5" xfId="0" applyBorder="1" applyAlignment="1">
      <alignment horizontal="center"/>
    </xf>
    <xf numFmtId="164" fontId="29" fillId="0" borderId="5" xfId="0" applyFont="1" applyBorder="1" applyAlignment="1">
      <alignment horizontal="left"/>
    </xf>
    <xf numFmtId="170" fontId="0" fillId="0" borderId="5" xfId="0" applyNumberFormat="1" applyBorder="1" applyAlignment="1">
      <alignment horizontal="center"/>
    </xf>
    <xf numFmtId="170" fontId="30" fillId="0" borderId="5" xfId="0" applyNumberFormat="1" applyFont="1" applyBorder="1" applyAlignment="1">
      <alignment horizontal="center"/>
    </xf>
    <xf numFmtId="164" fontId="0" fillId="8" borderId="5" xfId="0" applyFill="1" applyBorder="1" applyAlignment="1">
      <alignment horizontal="center"/>
    </xf>
    <xf numFmtId="164" fontId="38" fillId="3" borderId="0" xfId="0" applyFont="1" applyFill="1" applyBorder="1" applyAlignment="1" applyProtection="1">
      <alignment horizontal="center" vertical="center" wrapText="1"/>
    </xf>
    <xf numFmtId="164" fontId="38" fillId="3" borderId="0" xfId="0" applyFont="1" applyFill="1" applyBorder="1" applyAlignment="1" applyProtection="1">
      <alignment horizontal="center" vertical="center"/>
    </xf>
    <xf numFmtId="164" fontId="0" fillId="5" borderId="3" xfId="0" applyFill="1" applyBorder="1" applyAlignment="1">
      <alignment horizontal="left"/>
    </xf>
    <xf numFmtId="164" fontId="34" fillId="0" borderId="14" xfId="0" applyFont="1" applyBorder="1" applyAlignment="1">
      <alignment horizontal="right" vertical="center"/>
    </xf>
    <xf numFmtId="164" fontId="34" fillId="0" borderId="15" xfId="0" applyFont="1" applyBorder="1" applyAlignment="1">
      <alignment horizontal="right" vertical="center"/>
    </xf>
    <xf numFmtId="164" fontId="31" fillId="4" borderId="6" xfId="0" applyFont="1" applyFill="1" applyBorder="1" applyAlignment="1">
      <alignment horizontal="left" vertical="top" wrapText="1"/>
    </xf>
    <xf numFmtId="164" fontId="0" fillId="4" borderId="7" xfId="0" applyFill="1" applyBorder="1" applyAlignment="1">
      <alignment horizontal="left" vertical="top" wrapText="1"/>
    </xf>
    <xf numFmtId="164" fontId="31" fillId="6" borderId="9" xfId="0" applyFont="1" applyFill="1" applyBorder="1" applyAlignment="1">
      <alignment horizontal="left" wrapText="1"/>
    </xf>
    <xf numFmtId="164" fontId="0" fillId="6" borderId="5" xfId="0" applyFill="1" applyBorder="1" applyAlignment="1">
      <alignment horizontal="left" wrapText="1"/>
    </xf>
    <xf numFmtId="164" fontId="31" fillId="7" borderId="11" xfId="0" applyFont="1" applyFill="1" applyBorder="1" applyAlignment="1">
      <alignment horizontal="left" wrapText="1"/>
    </xf>
    <xf numFmtId="164" fontId="0" fillId="7" borderId="12" xfId="0" applyFill="1" applyBorder="1" applyAlignment="1">
      <alignment horizontal="left" wrapText="1"/>
    </xf>
    <xf numFmtId="164" fontId="31" fillId="0" borderId="0" xfId="0" applyFont="1" applyAlignment="1">
      <alignment horizontal="left" vertical="top" wrapText="1"/>
    </xf>
    <xf numFmtId="164" fontId="0" fillId="0" borderId="0" xfId="0" applyAlignment="1">
      <alignment horizontal="left" vertical="top" wrapText="1"/>
    </xf>
    <xf numFmtId="164" fontId="19" fillId="0" borderId="4" xfId="0" applyFont="1" applyFill="1" applyBorder="1" applyAlignment="1" applyProtection="1">
      <alignment vertical="center"/>
    </xf>
    <xf numFmtId="164" fontId="18" fillId="0" borderId="4" xfId="0" applyFont="1" applyBorder="1" applyAlignment="1">
      <alignment vertical="center"/>
    </xf>
    <xf numFmtId="164" fontId="20" fillId="0" borderId="3" xfId="0" applyFont="1" applyFill="1" applyBorder="1" applyAlignment="1" applyProtection="1">
      <alignment vertical="center"/>
    </xf>
    <xf numFmtId="164" fontId="21" fillId="0" borderId="3" xfId="0" applyFont="1" applyBorder="1" applyAlignment="1">
      <alignment vertical="center"/>
    </xf>
    <xf numFmtId="164" fontId="19" fillId="0" borderId="1" xfId="0" applyFont="1" applyFill="1" applyBorder="1" applyAlignment="1" applyProtection="1">
      <alignment vertical="center"/>
    </xf>
    <xf numFmtId="164" fontId="18" fillId="0" borderId="1" xfId="0" applyFont="1" applyBorder="1" applyAlignment="1">
      <alignment vertical="center"/>
    </xf>
    <xf numFmtId="164" fontId="17" fillId="3" borderId="0" xfId="0" applyFont="1" applyFill="1" applyBorder="1" applyAlignment="1" applyProtection="1">
      <alignment horizontal="center" vertical="center"/>
    </xf>
    <xf numFmtId="164" fontId="29" fillId="0" borderId="5" xfId="0" applyFont="1" applyBorder="1" applyAlignment="1">
      <alignment horizontal="center"/>
    </xf>
    <xf numFmtId="164" fontId="29" fillId="0" borderId="0" xfId="0" applyFont="1" applyAlignment="1">
      <alignment horizontal="center"/>
    </xf>
    <xf numFmtId="164" fontId="30" fillId="0" borderId="0" xfId="0" applyFont="1" applyAlignment="1">
      <alignment horizontal="center"/>
    </xf>
    <xf numFmtId="164" fontId="28" fillId="0" borderId="0" xfId="0" applyFont="1" applyAlignment="1">
      <alignment horizontal="center" vertical="center"/>
    </xf>
  </cellXfs>
  <cellStyles count="7">
    <cellStyle name="Comma" xfId="1" builtinId="3"/>
    <cellStyle name="Date" xfId="2"/>
    <cellStyle name="Fixed" xfId="3"/>
    <cellStyle name="Heading1" xfId="4"/>
    <cellStyle name="Heading2" xfId="5"/>
    <cellStyle name="Normal" xfId="0" builtinId="0"/>
    <cellStyle name="Total" xfId="6" builtinId="25" customBuiltin="1"/>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s>
  <tableStyles count="0" defaultTableStyle="TableStyleMedium9" defaultPivotStyle="PivotStyleLight16"/>
  <colors>
    <mruColors>
      <color rgb="FFFFFF99"/>
      <color rgb="FFFFFFCC"/>
      <color rgb="FFFF7C8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Calibri"/>
                <a:ea typeface="Calibri"/>
                <a:cs typeface="Calibri"/>
              </a:defRPr>
            </a:pPr>
            <a:r>
              <a:rPr lang="en-US" sz="1000" b="1"/>
              <a:t>C172S
 Center of Gravity Limits</a:t>
            </a:r>
          </a:p>
        </c:rich>
      </c:tx>
      <c:layout>
        <c:manualLayout>
          <c:xMode val="edge"/>
          <c:yMode val="edge"/>
          <c:x val="0.375"/>
          <c:y val="2.7068832173240527E-2"/>
        </c:manualLayout>
      </c:layout>
      <c:overlay val="0"/>
      <c:spPr>
        <a:noFill/>
        <a:ln w="25400">
          <a:noFill/>
        </a:ln>
      </c:spPr>
    </c:title>
    <c:autoTitleDeleted val="0"/>
    <c:plotArea>
      <c:layout>
        <c:manualLayout>
          <c:layoutTarget val="inner"/>
          <c:xMode val="edge"/>
          <c:yMode val="edge"/>
          <c:x val="0.1417910447761194"/>
          <c:y val="0.14385150812064965"/>
          <c:w val="0.81716417910447758"/>
          <c:h val="0.71461716937354991"/>
        </c:manualLayout>
      </c:layout>
      <c:scatterChart>
        <c:scatterStyle val="lineMarker"/>
        <c:varyColors val="0"/>
        <c:ser>
          <c:idx val="0"/>
          <c:order val="0"/>
          <c:tx>
            <c:v>Airplane CG</c:v>
          </c:tx>
          <c:spPr>
            <a:ln w="28575">
              <a:noFill/>
            </a:ln>
          </c:spPr>
          <c:marker>
            <c:symbol val="star"/>
            <c:size val="8"/>
            <c:spPr>
              <a:solidFill>
                <a:srgbClr val="0066CC"/>
              </a:solidFill>
              <a:ln>
                <a:solidFill>
                  <a:srgbClr val="FFFF00"/>
                </a:solidFill>
                <a:prstDash val="solid"/>
              </a:ln>
            </c:spPr>
          </c:marker>
          <c:dLbls>
            <c:spPr>
              <a:noFill/>
              <a:ln w="25400">
                <a:noFill/>
              </a:ln>
            </c:spPr>
            <c:txPr>
              <a:bodyPr/>
              <a:lstStyle/>
              <a:p>
                <a:pPr>
                  <a:defRPr sz="800" b="1" i="0" u="none" strike="noStrike" baseline="0">
                    <a:solidFill>
                      <a:srgbClr val="000000"/>
                    </a:solidFill>
                    <a:latin typeface="Calibri"/>
                    <a:ea typeface="Calibri"/>
                    <a:cs typeface="Calibri"/>
                  </a:defRPr>
                </a:pPr>
                <a:endParaRPr lang="en-US"/>
              </a:p>
            </c:txPr>
            <c:showLegendKey val="0"/>
            <c:showVal val="1"/>
            <c:showCatName val="1"/>
            <c:showSerName val="1"/>
            <c:showPercent val="0"/>
            <c:showBubbleSize val="0"/>
            <c:separator>
</c:separator>
            <c:showLeaderLines val="0"/>
            <c:extLst xmlns:c16r2="http://schemas.microsoft.com/office/drawing/2015/06/chart">
              <c:ext xmlns:c15="http://schemas.microsoft.com/office/drawing/2012/chart" uri="{CE6537A1-D6FC-4f65-9D91-7224C49458BB}">
                <c15:showLeaderLines val="0"/>
              </c:ext>
            </c:extLst>
          </c:dLbls>
          <c:trendline>
            <c:spPr>
              <a:ln w="25400">
                <a:solidFill>
                  <a:srgbClr val="000000"/>
                </a:solidFill>
                <a:prstDash val="solid"/>
              </a:ln>
            </c:spPr>
            <c:trendlineType val="linear"/>
            <c:dispRSqr val="0"/>
            <c:dispEq val="1"/>
            <c:trendlineLbl>
              <c:numFmt formatCode="General" sourceLinked="0"/>
              <c:spPr>
                <a:noFill/>
                <a:ln w="25400">
                  <a:noFill/>
                </a:ln>
              </c:spPr>
              <c:txPr>
                <a:bodyPr/>
                <a:lstStyle/>
                <a:p>
                  <a:pPr>
                    <a:defRPr sz="800" b="0" i="0" u="none" strike="noStrike" baseline="0">
                      <a:solidFill>
                        <a:srgbClr val="000000"/>
                      </a:solidFill>
                      <a:latin typeface="Calibri"/>
                      <a:ea typeface="Calibri"/>
                      <a:cs typeface="Calibri"/>
                    </a:defRPr>
                  </a:pPr>
                  <a:endParaRPr lang="en-US"/>
                </a:p>
              </c:txPr>
            </c:trendlineLbl>
          </c:trendline>
          <c:xVal>
            <c:numRef>
              <c:f>'Weight and Balance'!$D$13</c:f>
              <c:numCache>
                <c:formatCode>_(* #,##0.00_);_(* \(#,##0.00\);_(* "-"??_);_(@_)</c:formatCode>
                <c:ptCount val="1"/>
                <c:pt idx="0">
                  <c:v>43.93</c:v>
                </c:pt>
              </c:numCache>
            </c:numRef>
          </c:xVal>
          <c:yVal>
            <c:numRef>
              <c:f>'Weight and Balance'!$C$13</c:f>
              <c:numCache>
                <c:formatCode>#,##0_);\(#,##0\)</c:formatCode>
                <c:ptCount val="1"/>
                <c:pt idx="0">
                  <c:v>2530</c:v>
                </c:pt>
              </c:numCache>
            </c:numRef>
          </c:yVal>
          <c:smooth val="0"/>
          <c:extLst xmlns:c16r2="http://schemas.microsoft.com/office/drawing/2015/06/chart">
            <c:ext xmlns:c16="http://schemas.microsoft.com/office/drawing/2014/chart" uri="{C3380CC4-5D6E-409C-BE32-E72D297353CC}">
              <c16:uniqueId val="{00000001-F35E-4C61-8EBD-6BF01D5C0A5A}"/>
            </c:ext>
          </c:extLst>
        </c:ser>
        <c:ser>
          <c:idx val="1"/>
          <c:order val="1"/>
          <c:tx>
            <c:v>Takeoff Weight</c:v>
          </c:tx>
          <c:spPr>
            <a:ln w="28575">
              <a:noFill/>
            </a:ln>
          </c:spPr>
          <c:marker>
            <c:symbol val="square"/>
            <c:size val="5"/>
            <c:spPr>
              <a:solidFill>
                <a:srgbClr val="FF00FF"/>
              </a:solidFill>
              <a:ln>
                <a:solidFill>
                  <a:srgbClr val="FF00FF"/>
                </a:solidFill>
                <a:prstDash val="solid"/>
              </a:ln>
            </c:spPr>
          </c:marker>
          <c:dLbls>
            <c:dLbl>
              <c:idx val="0"/>
              <c:layout>
                <c:manualLayout>
                  <c:x val="0.22637168488267323"/>
                  <c:y val="-0.9489093909665004"/>
                </c:manualLayout>
              </c:layout>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F35E-4C61-8EBD-6BF01D5C0A5A}"/>
                </c:ext>
              </c:extLst>
            </c:dLbl>
            <c:spPr>
              <a:noFill/>
              <a:ln w="25400">
                <a:noFill/>
              </a:ln>
            </c:spPr>
            <c:txPr>
              <a:bodyPr/>
              <a:lstStyle/>
              <a:p>
                <a:pPr>
                  <a:defRPr sz="8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'Weight and Balance'!$D$13</c:f>
              <c:numCache>
                <c:formatCode>_(* #,##0.00_);_(* \(#,##0.00\);_(* "-"??_);_(@_)</c:formatCode>
                <c:ptCount val="1"/>
                <c:pt idx="0">
                  <c:v>43.93</c:v>
                </c:pt>
              </c:numCache>
            </c:numRef>
          </c:xVal>
          <c:yVal>
            <c:numRef>
              <c:f>'Weight and Balance'!$D$13</c:f>
              <c:numCache>
                <c:formatCode>_(* #,##0.00_);_(* \(#,##0.00\);_(* "-"??_);_(@_)</c:formatCode>
                <c:ptCount val="1"/>
                <c:pt idx="0">
                  <c:v>43.93</c:v>
                </c:pt>
              </c:numCache>
            </c:numRef>
          </c:yVal>
          <c:smooth val="0"/>
          <c:extLst xmlns:c16r2="http://schemas.microsoft.com/office/drawing/2015/06/chart">
            <c:ext xmlns:c16="http://schemas.microsoft.com/office/drawing/2014/chart" uri="{C3380CC4-5D6E-409C-BE32-E72D297353CC}">
              <c16:uniqueId val="{00000003-F35E-4C61-8EBD-6BF01D5C0A5A}"/>
            </c:ext>
          </c:extLst>
        </c:ser>
        <c:dLbls>
          <c:showLegendKey val="0"/>
          <c:showVal val="0"/>
          <c:showCatName val="0"/>
          <c:showSerName val="0"/>
          <c:showPercent val="0"/>
          <c:showBubbleSize val="0"/>
        </c:dLbls>
        <c:axId val="111374720"/>
        <c:axId val="111376640"/>
      </c:scatterChart>
      <c:valAx>
        <c:axId val="111374720"/>
        <c:scaling>
          <c:orientation val="minMax"/>
          <c:max val="48"/>
          <c:min val="34"/>
        </c:scaling>
        <c:delete val="0"/>
        <c:axPos val="b"/>
        <c:minorGridlines>
          <c:spPr>
            <a:ln w="3175">
              <a:solidFill>
                <a:srgbClr val="000000"/>
              </a:solidFill>
              <a:prstDash val="solid"/>
            </a:ln>
          </c:spPr>
        </c:minorGridlines>
        <c:title>
          <c:tx>
            <c:rich>
              <a:bodyPr/>
              <a:lstStyle/>
              <a:p>
                <a:pPr>
                  <a:defRPr sz="900" b="1" i="0" u="none" strike="noStrike" baseline="0">
                    <a:solidFill>
                      <a:srgbClr val="000000"/>
                    </a:solidFill>
                    <a:latin typeface="Calibri"/>
                    <a:ea typeface="Calibri"/>
                    <a:cs typeface="Calibri"/>
                  </a:defRPr>
                </a:pPr>
                <a:r>
                  <a:rPr lang="en-US" sz="900" b="1"/>
                  <a:t>Airplane C.G. Location - Inches Aft of Datum</a:t>
                </a:r>
              </a:p>
            </c:rich>
          </c:tx>
          <c:layout>
            <c:manualLayout>
              <c:xMode val="edge"/>
              <c:yMode val="edge"/>
              <c:x val="0.36567164179104478"/>
              <c:y val="0.92343387470997684"/>
            </c:manualLayout>
          </c:layout>
          <c:overlay val="0"/>
          <c:spPr>
            <a:noFill/>
            <a:ln w="25400">
              <a:noFill/>
            </a:ln>
          </c:spPr>
        </c:title>
        <c:numFmt formatCode="0" sourceLinked="0"/>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Calibri"/>
                <a:ea typeface="Calibri"/>
                <a:cs typeface="Calibri"/>
              </a:defRPr>
            </a:pPr>
            <a:endParaRPr lang="en-US"/>
          </a:p>
        </c:txPr>
        <c:crossAx val="111376640"/>
        <c:crosses val="autoZero"/>
        <c:crossBetween val="midCat"/>
        <c:majorUnit val="1"/>
        <c:minorUnit val="0.5"/>
      </c:valAx>
      <c:valAx>
        <c:axId val="111376640"/>
        <c:scaling>
          <c:orientation val="minMax"/>
          <c:max val="2600"/>
          <c:min val="1500"/>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900" b="1" i="0" u="none" strike="noStrike" baseline="0">
                    <a:solidFill>
                      <a:srgbClr val="000000"/>
                    </a:solidFill>
                    <a:latin typeface="Calibri"/>
                    <a:ea typeface="Calibri"/>
                    <a:cs typeface="Calibri"/>
                  </a:defRPr>
                </a:pPr>
                <a:r>
                  <a:rPr lang="en-US" sz="900" b="1"/>
                  <a:t>Loaded Airplane Weight (Pounds)</a:t>
                </a:r>
              </a:p>
            </c:rich>
          </c:tx>
          <c:layout>
            <c:manualLayout>
              <c:xMode val="edge"/>
              <c:yMode val="edge"/>
              <c:x val="1.4925373134328358E-2"/>
              <c:y val="0.31554524361948955"/>
            </c:manualLayout>
          </c:layout>
          <c:overlay val="0"/>
          <c:spPr>
            <a:noFill/>
            <a:ln w="25400">
              <a:noFill/>
            </a:ln>
          </c:spPr>
        </c:title>
        <c:numFmt formatCode="#,##0_);\(#,##0\)" sourceLinked="1"/>
        <c:majorTickMark val="in"/>
        <c:minorTickMark val="in"/>
        <c:tickLblPos val="nextTo"/>
        <c:spPr>
          <a:ln w="3175">
            <a:solidFill>
              <a:srgbClr val="000000"/>
            </a:solidFill>
            <a:prstDash val="solid"/>
          </a:ln>
        </c:spPr>
        <c:txPr>
          <a:bodyPr rot="0" vert="horz"/>
          <a:lstStyle/>
          <a:p>
            <a:pPr>
              <a:defRPr sz="800" b="0" i="0" u="none" strike="noStrike" baseline="0">
                <a:solidFill>
                  <a:srgbClr val="000000"/>
                </a:solidFill>
                <a:latin typeface="Calibri"/>
                <a:ea typeface="Calibri"/>
                <a:cs typeface="Calibri"/>
              </a:defRPr>
            </a:pPr>
            <a:endParaRPr lang="en-US"/>
          </a:p>
        </c:txPr>
        <c:crossAx val="111374720"/>
        <c:crosses val="autoZero"/>
        <c:crossBetween val="midCat"/>
        <c:majorUnit val="100"/>
        <c:minorUnit val="50"/>
      </c:valAx>
      <c:spPr>
        <a:noFill/>
        <a:ln w="12700">
          <a:solidFill>
            <a:srgbClr val="808080"/>
          </a:solidFill>
          <a:prstDash val="solid"/>
        </a:ln>
      </c:spPr>
    </c:plotArea>
    <c:plotVisOnly val="1"/>
    <c:dispBlanksAs val="gap"/>
    <c:showDLblsOverMax val="0"/>
  </c:chart>
  <c:spPr>
    <a:solidFill>
      <a:srgbClr val="FFFFFF"/>
    </a:solidFill>
    <a:ln w="3175">
      <a:noFill/>
      <a:prstDash val="solid"/>
    </a:ln>
  </c:spPr>
  <c:txPr>
    <a:bodyPr/>
    <a:lstStyle/>
    <a:p>
      <a:pPr>
        <a:defRPr sz="800" b="0" i="0" u="none" strike="noStrike" baseline="0">
          <a:solidFill>
            <a:srgbClr val="000000"/>
          </a:solidFill>
          <a:latin typeface="Calibri"/>
          <a:ea typeface="Calibri"/>
          <a:cs typeface="Calibri"/>
        </a:defRPr>
      </a:pPr>
      <a:endParaRPr lang="en-US"/>
    </a:p>
  </c:txPr>
  <c:printSettings>
    <c:headerFooter alignWithMargins="0"/>
    <c:pageMargins b="1" l="0.75" r="0.75" t="1" header="0.5" footer="0.5"/>
    <c:pageSetup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76200</xdr:colOff>
      <xdr:row>25</xdr:row>
      <xdr:rowOff>95250</xdr:rowOff>
    </xdr:from>
    <xdr:to>
      <xdr:col>6</xdr:col>
      <xdr:colOff>438150</xdr:colOff>
      <xdr:row>46</xdr:row>
      <xdr:rowOff>76200</xdr:rowOff>
    </xdr:to>
    <xdr:graphicFrame macro="">
      <xdr:nvGraphicFramePr>
        <xdr:cNvPr id="1126" name="Chart 2">
          <a:extLst>
            <a:ext uri="{FF2B5EF4-FFF2-40B4-BE49-F238E27FC236}">
              <a16:creationId xmlns="" xmlns:a16="http://schemas.microsoft.com/office/drawing/2014/main" id="{00000000-0008-0000-0000-000066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1095375</xdr:colOff>
      <xdr:row>34</xdr:row>
      <xdr:rowOff>47625</xdr:rowOff>
    </xdr:from>
    <xdr:to>
      <xdr:col>2</xdr:col>
      <xdr:colOff>381000</xdr:colOff>
      <xdr:row>43</xdr:row>
      <xdr:rowOff>114300</xdr:rowOff>
    </xdr:to>
    <xdr:sp macro="" textlink="">
      <xdr:nvSpPr>
        <xdr:cNvPr id="1127" name="Freeform 6">
          <a:extLst>
            <a:ext uri="{FF2B5EF4-FFF2-40B4-BE49-F238E27FC236}">
              <a16:creationId xmlns="" xmlns:a16="http://schemas.microsoft.com/office/drawing/2014/main" id="{00000000-0008-0000-0000-000067040000}"/>
            </a:ext>
          </a:extLst>
        </xdr:cNvPr>
        <xdr:cNvSpPr>
          <a:spLocks/>
        </xdr:cNvSpPr>
      </xdr:nvSpPr>
      <xdr:spPr bwMode="auto">
        <a:xfrm>
          <a:off x="1095375" y="6057900"/>
          <a:ext cx="1647825" cy="1866900"/>
        </a:xfrm>
        <a:custGeom>
          <a:avLst/>
          <a:gdLst>
            <a:gd name="T0" fmla="*/ 0 w 1647825"/>
            <a:gd name="T1" fmla="*/ 685800 h 1847850"/>
            <a:gd name="T2" fmla="*/ 752475 w 1647825"/>
            <a:gd name="T3" fmla="*/ 0 h 1847850"/>
            <a:gd name="T4" fmla="*/ 1647825 w 1647825"/>
            <a:gd name="T5" fmla="*/ 0 h 1847850"/>
            <a:gd name="T6" fmla="*/ 1638300 w 1647825"/>
            <a:gd name="T7" fmla="*/ 1847850 h 1847850"/>
            <a:gd name="T8" fmla="*/ 0 w 1647825"/>
            <a:gd name="T9" fmla="*/ 1847850 h 1847850"/>
            <a:gd name="T10" fmla="*/ 0 w 1647825"/>
            <a:gd name="T11" fmla="*/ 685800 h 1847850"/>
            <a:gd name="T12" fmla="*/ 0 60000 65536"/>
            <a:gd name="T13" fmla="*/ 0 60000 65536"/>
            <a:gd name="T14" fmla="*/ 0 60000 65536"/>
            <a:gd name="T15" fmla="*/ 0 60000 65536"/>
            <a:gd name="T16" fmla="*/ 0 60000 65536"/>
            <a:gd name="T17" fmla="*/ 0 60000 65536"/>
            <a:gd name="T18" fmla="*/ 0 w 1647825"/>
            <a:gd name="T19" fmla="*/ 0 h 1847850"/>
            <a:gd name="T20" fmla="*/ 1647825 w 1647825"/>
            <a:gd name="T21" fmla="*/ 1847850 h 1847850"/>
          </a:gdLst>
          <a:ahLst/>
          <a:cxnLst>
            <a:cxn ang="T12">
              <a:pos x="T0" y="T1"/>
            </a:cxn>
            <a:cxn ang="T13">
              <a:pos x="T2" y="T3"/>
            </a:cxn>
            <a:cxn ang="T14">
              <a:pos x="T4" y="T5"/>
            </a:cxn>
            <a:cxn ang="T15">
              <a:pos x="T6" y="T7"/>
            </a:cxn>
            <a:cxn ang="T16">
              <a:pos x="T8" y="T9"/>
            </a:cxn>
            <a:cxn ang="T17">
              <a:pos x="T10" y="T11"/>
            </a:cxn>
          </a:cxnLst>
          <a:rect l="T18" t="T19" r="T20" b="T21"/>
          <a:pathLst>
            <a:path w="1647825" h="1847850">
              <a:moveTo>
                <a:pt x="0" y="685800"/>
              </a:moveTo>
              <a:lnTo>
                <a:pt x="752475" y="0"/>
              </a:lnTo>
              <a:lnTo>
                <a:pt x="1647825" y="0"/>
              </a:lnTo>
              <a:lnTo>
                <a:pt x="1638300" y="1847850"/>
              </a:lnTo>
              <a:lnTo>
                <a:pt x="0" y="1847850"/>
              </a:lnTo>
              <a:lnTo>
                <a:pt x="0" y="685800"/>
              </a:lnTo>
              <a:close/>
            </a:path>
          </a:pathLst>
        </a:custGeom>
        <a:solidFill>
          <a:srgbClr val="C00000">
            <a:alpha val="50195"/>
          </a:srgbClr>
        </a:solidFill>
        <a:ln w="9525" cap="flat" cmpd="sng" algn="ctr">
          <a:solidFill>
            <a:srgbClr val="000000"/>
          </a:solidFill>
          <a:prstDash val="solid"/>
          <a:round/>
          <a:headEnd type="none" w="med" len="med"/>
          <a:tailEnd type="none" w="med" len="med"/>
        </a:ln>
      </xdr:spPr>
    </xdr:sp>
    <xdr:clientData/>
  </xdr:twoCellAnchor>
  <xdr:twoCellAnchor>
    <xdr:from>
      <xdr:col>0</xdr:col>
      <xdr:colOff>1666875</xdr:colOff>
      <xdr:row>37</xdr:row>
      <xdr:rowOff>152399</xdr:rowOff>
    </xdr:from>
    <xdr:to>
      <xdr:col>1</xdr:col>
      <xdr:colOff>514350</xdr:colOff>
      <xdr:row>39</xdr:row>
      <xdr:rowOff>123824</xdr:rowOff>
    </xdr:to>
    <xdr:sp macro="" textlink="">
      <xdr:nvSpPr>
        <xdr:cNvPr id="8" name="TextBox 7">
          <a:extLst>
            <a:ext uri="{FF2B5EF4-FFF2-40B4-BE49-F238E27FC236}">
              <a16:creationId xmlns="" xmlns:a16="http://schemas.microsoft.com/office/drawing/2014/main" id="{00000000-0008-0000-0000-000008000000}"/>
            </a:ext>
          </a:extLst>
        </xdr:cNvPr>
        <xdr:cNvSpPr txBox="1"/>
      </xdr:nvSpPr>
      <xdr:spPr>
        <a:xfrm>
          <a:off x="1666875" y="6981824"/>
          <a:ext cx="600075" cy="37147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800"/>
            <a:t>Utility Category</a:t>
          </a:r>
        </a:p>
      </xdr:txBody>
    </xdr:sp>
    <xdr:clientData/>
  </xdr:twoCellAnchor>
  <xdr:twoCellAnchor>
    <xdr:from>
      <xdr:col>3</xdr:col>
      <xdr:colOff>28304</xdr:colOff>
      <xdr:row>37</xdr:row>
      <xdr:rowOff>87630</xdr:rowOff>
    </xdr:from>
    <xdr:to>
      <xdr:col>3</xdr:col>
      <xdr:colOff>30480</xdr:colOff>
      <xdr:row>43</xdr:row>
      <xdr:rowOff>63896</xdr:rowOff>
    </xdr:to>
    <xdr:sp macro="" textlink="">
      <xdr:nvSpPr>
        <xdr:cNvPr id="5" name="Line 1034">
          <a:extLst>
            <a:ext uri="{FF2B5EF4-FFF2-40B4-BE49-F238E27FC236}">
              <a16:creationId xmlns="" xmlns:a16="http://schemas.microsoft.com/office/drawing/2014/main" id="{73B163D6-1B6B-413B-BA5C-62C1730D797D}"/>
            </a:ext>
          </a:extLst>
        </xdr:cNvPr>
        <xdr:cNvSpPr>
          <a:spLocks noChangeShapeType="1"/>
        </xdr:cNvSpPr>
      </xdr:nvSpPr>
      <xdr:spPr bwMode="auto">
        <a:xfrm flipV="1">
          <a:off x="2923904" y="6758940"/>
          <a:ext cx="2176" cy="1187846"/>
        </a:xfrm>
        <a:prstGeom prst="line">
          <a:avLst/>
        </a:prstGeom>
        <a:ln w="19050" cap="flat" cmpd="sng" algn="ctr">
          <a:solidFill>
            <a:schemeClr val="accent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US"/>
        </a:p>
      </xdr:txBody>
    </xdr:sp>
    <xdr:clientData/>
  </xdr:twoCellAnchor>
  <xdr:twoCellAnchor>
    <xdr:from>
      <xdr:col>3</xdr:col>
      <xdr:colOff>38099</xdr:colOff>
      <xdr:row>29</xdr:row>
      <xdr:rowOff>15040</xdr:rowOff>
    </xdr:from>
    <xdr:to>
      <xdr:col>4</xdr:col>
      <xdr:colOff>255671</xdr:colOff>
      <xdr:row>37</xdr:row>
      <xdr:rowOff>84849</xdr:rowOff>
    </xdr:to>
    <xdr:sp macro="" textlink="">
      <xdr:nvSpPr>
        <xdr:cNvPr id="6" name="Line 1034">
          <a:extLst>
            <a:ext uri="{FF2B5EF4-FFF2-40B4-BE49-F238E27FC236}">
              <a16:creationId xmlns="" xmlns:a16="http://schemas.microsoft.com/office/drawing/2014/main" id="{AD85241C-20B0-4BED-8CFB-276CB26EE95A}"/>
            </a:ext>
          </a:extLst>
        </xdr:cNvPr>
        <xdr:cNvSpPr>
          <a:spLocks noChangeShapeType="1"/>
        </xdr:cNvSpPr>
      </xdr:nvSpPr>
      <xdr:spPr bwMode="auto">
        <a:xfrm flipV="1">
          <a:off x="2935704" y="5078329"/>
          <a:ext cx="884322" cy="1593809"/>
        </a:xfrm>
        <a:prstGeom prst="line">
          <a:avLst/>
        </a:prstGeom>
        <a:ln w="19050" cap="flat" cmpd="sng" algn="ctr">
          <a:solidFill>
            <a:schemeClr val="accent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US"/>
        </a:p>
      </xdr:txBody>
    </xdr:sp>
    <xdr:clientData/>
  </xdr:twoCellAnchor>
  <xdr:twoCellAnchor>
    <xdr:from>
      <xdr:col>3</xdr:col>
      <xdr:colOff>76200</xdr:colOff>
      <xdr:row>41</xdr:row>
      <xdr:rowOff>28575</xdr:rowOff>
    </xdr:from>
    <xdr:to>
      <xdr:col>3</xdr:col>
      <xdr:colOff>447675</xdr:colOff>
      <xdr:row>41</xdr:row>
      <xdr:rowOff>190500</xdr:rowOff>
    </xdr:to>
    <xdr:sp macro="" textlink="">
      <xdr:nvSpPr>
        <xdr:cNvPr id="9" name="Text Box 1042">
          <a:extLst>
            <a:ext uri="{FF2B5EF4-FFF2-40B4-BE49-F238E27FC236}">
              <a16:creationId xmlns="" xmlns:a16="http://schemas.microsoft.com/office/drawing/2014/main" id="{B10D054B-C23F-4BDD-8802-36AFE5341866}"/>
            </a:ext>
          </a:extLst>
        </xdr:cNvPr>
        <xdr:cNvSpPr txBox="1">
          <a:spLocks noChangeArrowheads="1"/>
        </xdr:cNvSpPr>
      </xdr:nvSpPr>
      <xdr:spPr bwMode="auto">
        <a:xfrm>
          <a:off x="2971800" y="7439025"/>
          <a:ext cx="371475" cy="161925"/>
        </a:xfrm>
        <a:prstGeom prst="rect">
          <a:avLst/>
        </a:prstGeom>
        <a:ln w="19050">
          <a:prstDash val="dash"/>
          <a:headEnd/>
          <a:tailEnd/>
        </a:ln>
      </xdr:spPr>
      <xdr:style>
        <a:lnRef idx="2">
          <a:schemeClr val="accent1"/>
        </a:lnRef>
        <a:fillRef idx="1">
          <a:schemeClr val="lt1"/>
        </a:fillRef>
        <a:effectRef idx="0">
          <a:schemeClr val="accent1"/>
        </a:effectRef>
        <a:fontRef idx="minor">
          <a:schemeClr val="dk1"/>
        </a:fontRef>
      </xdr:style>
      <xdr:txBody>
        <a:bodyPr wrap="square" lIns="27432" tIns="22860" rIns="27432"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en-US" sz="800" b="0" i="0" u="none" strike="noStrike" baseline="0">
              <a:solidFill>
                <a:srgbClr val="000000"/>
              </a:solidFill>
              <a:latin typeface="Calibri"/>
              <a:cs typeface="Calibri"/>
            </a:rPr>
            <a:t>C.G.</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0.20117</cdr:x>
      <cdr:y>0.57077</cdr:y>
    </cdr:from>
    <cdr:to>
      <cdr:x>0.20149</cdr:x>
      <cdr:y>0.85362</cdr:y>
    </cdr:to>
    <cdr:sp macro="" textlink="">
      <cdr:nvSpPr>
        <cdr:cNvPr id="30730" name="Line 1034"/>
        <cdr:cNvSpPr>
          <a:spLocks xmlns:a="http://schemas.openxmlformats.org/drawingml/2006/main" noChangeShapeType="1"/>
        </cdr:cNvSpPr>
      </cdr:nvSpPr>
      <cdr:spPr bwMode="auto">
        <a:xfrm xmlns:a="http://schemas.openxmlformats.org/drawingml/2006/main" flipV="1">
          <a:off x="1027054" y="2343149"/>
          <a:ext cx="1645" cy="1161196"/>
        </a:xfrm>
        <a:prstGeom xmlns:a="http://schemas.openxmlformats.org/drawingml/2006/main" prst="line">
          <a:avLst/>
        </a:prstGeom>
        <a:noFill xmlns:a="http://schemas.openxmlformats.org/drawingml/2006/main"/>
        <a:ln xmlns:a="http://schemas.openxmlformats.org/drawingml/2006/main" w="38100">
          <a:solidFill>
            <a:srgbClr val="00B05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0.91218</cdr:x>
      <cdr:y>0.17446</cdr:y>
    </cdr:from>
    <cdr:to>
      <cdr:x>0.91604</cdr:x>
      <cdr:y>0.85847</cdr:y>
    </cdr:to>
    <cdr:sp macro="" textlink="">
      <cdr:nvSpPr>
        <cdr:cNvPr id="30731" name="Line 1035"/>
        <cdr:cNvSpPr>
          <a:spLocks xmlns:a="http://schemas.openxmlformats.org/drawingml/2006/main" noChangeShapeType="1"/>
        </cdr:cNvSpPr>
      </cdr:nvSpPr>
      <cdr:spPr bwMode="auto">
        <a:xfrm xmlns:a="http://schemas.openxmlformats.org/drawingml/2006/main" flipH="1" flipV="1">
          <a:off x="4657043" y="716205"/>
          <a:ext cx="19731" cy="2808044"/>
        </a:xfrm>
        <a:prstGeom xmlns:a="http://schemas.openxmlformats.org/drawingml/2006/main" prst="line">
          <a:avLst/>
        </a:prstGeom>
        <a:noFill xmlns:a="http://schemas.openxmlformats.org/drawingml/2006/main"/>
        <a:ln xmlns:a="http://schemas.openxmlformats.org/drawingml/2006/main" w="38100">
          <a:solidFill>
            <a:srgbClr val="00B05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0.20149</cdr:x>
      <cdr:y>0.17401</cdr:y>
    </cdr:from>
    <cdr:to>
      <cdr:x>0.55037</cdr:x>
      <cdr:y>0.57077</cdr:y>
    </cdr:to>
    <cdr:sp macro="" textlink="">
      <cdr:nvSpPr>
        <cdr:cNvPr id="30732" name="Line 1036"/>
        <cdr:cNvSpPr>
          <a:spLocks xmlns:a="http://schemas.openxmlformats.org/drawingml/2006/main" noChangeShapeType="1"/>
        </cdr:cNvSpPr>
      </cdr:nvSpPr>
      <cdr:spPr bwMode="auto">
        <a:xfrm xmlns:a="http://schemas.openxmlformats.org/drawingml/2006/main" flipV="1">
          <a:off x="1028699" y="714374"/>
          <a:ext cx="1781175" cy="1628775"/>
        </a:xfrm>
        <a:prstGeom xmlns:a="http://schemas.openxmlformats.org/drawingml/2006/main" prst="line">
          <a:avLst/>
        </a:prstGeom>
        <a:noFill xmlns:a="http://schemas.openxmlformats.org/drawingml/2006/main"/>
        <a:ln xmlns:a="http://schemas.openxmlformats.org/drawingml/2006/main" w="38100">
          <a:solidFill>
            <a:srgbClr val="00B05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0.54851</cdr:x>
      <cdr:y>0.17401</cdr:y>
    </cdr:from>
    <cdr:to>
      <cdr:x>0.91218</cdr:x>
      <cdr:y>0.17446</cdr:y>
    </cdr:to>
    <cdr:sp macro="" textlink="">
      <cdr:nvSpPr>
        <cdr:cNvPr id="30733" name="Line 1037"/>
        <cdr:cNvSpPr>
          <a:spLocks xmlns:a="http://schemas.openxmlformats.org/drawingml/2006/main" noChangeShapeType="1"/>
        </cdr:cNvSpPr>
      </cdr:nvSpPr>
      <cdr:spPr bwMode="auto">
        <a:xfrm xmlns:a="http://schemas.openxmlformats.org/drawingml/2006/main">
          <a:off x="2800363" y="714359"/>
          <a:ext cx="1856681" cy="1847"/>
        </a:xfrm>
        <a:prstGeom xmlns:a="http://schemas.openxmlformats.org/drawingml/2006/main" prst="line">
          <a:avLst/>
        </a:prstGeom>
        <a:noFill xmlns:a="http://schemas.openxmlformats.org/drawingml/2006/main"/>
        <a:ln xmlns:a="http://schemas.openxmlformats.org/drawingml/2006/main" w="38100">
          <a:solidFill>
            <a:srgbClr val="00B050"/>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0.51987</cdr:x>
      <cdr:y>0.42893</cdr:y>
    </cdr:from>
    <cdr:to>
      <cdr:x>0.51987</cdr:x>
      <cdr:y>0.85435</cdr:y>
    </cdr:to>
    <cdr:sp macro="" textlink="">
      <cdr:nvSpPr>
        <cdr:cNvPr id="30735" name="Line 1039"/>
        <cdr:cNvSpPr>
          <a:spLocks xmlns:a="http://schemas.openxmlformats.org/drawingml/2006/main" noChangeShapeType="1"/>
        </cdr:cNvSpPr>
      </cdr:nvSpPr>
      <cdr:spPr bwMode="auto">
        <a:xfrm xmlns:a="http://schemas.openxmlformats.org/drawingml/2006/main" flipV="1">
          <a:off x="2662286" y="1768153"/>
          <a:ext cx="0" cy="1750514"/>
        </a:xfrm>
        <a:prstGeom xmlns:a="http://schemas.openxmlformats.org/drawingml/2006/main" prst="line">
          <a:avLst/>
        </a:prstGeom>
        <a:noFill xmlns:a="http://schemas.openxmlformats.org/drawingml/2006/main"/>
        <a:ln xmlns:a="http://schemas.openxmlformats.org/drawingml/2006/main" w="38100">
          <a:solidFill>
            <a:srgbClr val="FF0000"/>
          </a:solidFill>
          <a:prstDash val="dash"/>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0.34885</cdr:x>
      <cdr:y>0.40341</cdr:y>
    </cdr:from>
    <cdr:to>
      <cdr:x>0.52239</cdr:x>
      <cdr:y>0.40371</cdr:y>
    </cdr:to>
    <cdr:sp macro="" textlink="">
      <cdr:nvSpPr>
        <cdr:cNvPr id="30736" name="Line 1040"/>
        <cdr:cNvSpPr>
          <a:spLocks xmlns:a="http://schemas.openxmlformats.org/drawingml/2006/main" noChangeShapeType="1"/>
        </cdr:cNvSpPr>
      </cdr:nvSpPr>
      <cdr:spPr bwMode="auto">
        <a:xfrm xmlns:a="http://schemas.openxmlformats.org/drawingml/2006/main">
          <a:off x="1781011" y="1656117"/>
          <a:ext cx="885990" cy="1233"/>
        </a:xfrm>
        <a:prstGeom xmlns:a="http://schemas.openxmlformats.org/drawingml/2006/main" prst="line">
          <a:avLst/>
        </a:prstGeom>
        <a:noFill xmlns:a="http://schemas.openxmlformats.org/drawingml/2006/main"/>
        <a:ln xmlns:a="http://schemas.openxmlformats.org/drawingml/2006/main" w="38100">
          <a:solidFill>
            <a:srgbClr val="FF0000"/>
          </a:solidFill>
          <a:prstDash val="dash"/>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0.70889</cdr:x>
      <cdr:y>0.58108</cdr:y>
    </cdr:from>
    <cdr:to>
      <cdr:x>0.82444</cdr:x>
      <cdr:y>0.65507</cdr:y>
    </cdr:to>
    <cdr:sp macro="" textlink="">
      <cdr:nvSpPr>
        <cdr:cNvPr id="30738" name="Text Box 1042"/>
        <cdr:cNvSpPr txBox="1">
          <a:spLocks xmlns:a="http://schemas.openxmlformats.org/drawingml/2006/main" noChangeArrowheads="1"/>
        </cdr:cNvSpPr>
      </cdr:nvSpPr>
      <cdr:spPr bwMode="auto">
        <a:xfrm xmlns:a="http://schemas.openxmlformats.org/drawingml/2006/main">
          <a:off x="3619143" y="2385481"/>
          <a:ext cx="589966" cy="303776"/>
        </a:xfrm>
        <a:prstGeom xmlns:a="http://schemas.openxmlformats.org/drawingml/2006/main" prst="rect">
          <a:avLst/>
        </a:prstGeom>
        <a:solidFill xmlns:a="http://schemas.openxmlformats.org/drawingml/2006/main">
          <a:srgbClr val="FFFFFF"/>
        </a:solidFill>
        <a:ln xmlns:a="http://schemas.openxmlformats.org/drawingml/2006/main" w="19050">
          <a:solidFill>
            <a:srgbClr val="000000"/>
          </a:solid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en-US" sz="800" b="0" i="0" u="none" strike="noStrike" baseline="0">
              <a:solidFill>
                <a:srgbClr val="000000"/>
              </a:solidFill>
              <a:latin typeface="Calibri"/>
              <a:cs typeface="Calibri"/>
            </a:rPr>
            <a:t>Normal</a:t>
          </a:r>
        </a:p>
        <a:p xmlns:a="http://schemas.openxmlformats.org/drawingml/2006/main">
          <a:pPr algn="ctr" rtl="0">
            <a:defRPr sz="1000"/>
          </a:pPr>
          <a:r>
            <a:rPr lang="en-US" sz="800" b="0" i="0" u="none" strike="noStrike" baseline="0">
              <a:solidFill>
                <a:srgbClr val="000000"/>
              </a:solidFill>
              <a:latin typeface="Calibri"/>
              <a:cs typeface="Calibri"/>
            </a:rPr>
            <a:t>Category</a:t>
          </a:r>
        </a:p>
      </cdr:txBody>
    </cdr:sp>
  </cdr:relSizeAnchor>
  <cdr:relSizeAnchor xmlns:cdr="http://schemas.openxmlformats.org/drawingml/2006/chartDrawing">
    <cdr:from>
      <cdr:x>0.18081</cdr:x>
      <cdr:y>0.17446</cdr:y>
    </cdr:from>
    <cdr:to>
      <cdr:x>0.43228</cdr:x>
      <cdr:y>0.24846</cdr:y>
    </cdr:to>
    <cdr:sp macro="" textlink="">
      <cdr:nvSpPr>
        <cdr:cNvPr id="30753" name="Text Box 1057"/>
        <cdr:cNvSpPr txBox="1">
          <a:spLocks xmlns:a="http://schemas.openxmlformats.org/drawingml/2006/main" noChangeArrowheads="1"/>
        </cdr:cNvSpPr>
      </cdr:nvSpPr>
      <cdr:spPr bwMode="auto">
        <a:xfrm xmlns:a="http://schemas.openxmlformats.org/drawingml/2006/main">
          <a:off x="927988" y="721060"/>
          <a:ext cx="1286292" cy="304481"/>
        </a:xfrm>
        <a:prstGeom xmlns:a="http://schemas.openxmlformats.org/drawingml/2006/main" prst="rect">
          <a:avLst/>
        </a:prstGeom>
        <a:solidFill xmlns:a="http://schemas.openxmlformats.org/drawingml/2006/main">
          <a:srgbClr val="00B050"/>
        </a:solidFill>
        <a:ln xmlns:a="http://schemas.openxmlformats.org/drawingml/2006/main" w="6350">
          <a:solidFill>
            <a:srgbClr val="800000"/>
          </a:solid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en-US" sz="800" b="1" i="0" u="none" strike="noStrike" baseline="0">
              <a:solidFill>
                <a:schemeClr val="bg1"/>
              </a:solidFill>
              <a:latin typeface="Calibri"/>
              <a:cs typeface="Calibri"/>
            </a:rPr>
            <a:t>Maximum Take-Off Weight 2550 lbs</a:t>
          </a:r>
        </a:p>
      </cdr:txBody>
    </cdr:sp>
  </cdr:relSizeAnchor>
  <cdr:relSizeAnchor xmlns:cdr="http://schemas.openxmlformats.org/drawingml/2006/chartDrawing">
    <cdr:from>
      <cdr:x>0.00995</cdr:x>
      <cdr:y>0.01237</cdr:y>
    </cdr:from>
    <cdr:to>
      <cdr:x>0.01027</cdr:x>
      <cdr:y>0.29522</cdr:y>
    </cdr:to>
    <cdr:sp macro="" textlink="">
      <cdr:nvSpPr>
        <cdr:cNvPr id="10" name="Line 1034">
          <a:extLst xmlns:a="http://schemas.openxmlformats.org/drawingml/2006/main">
            <a:ext uri="{FF2B5EF4-FFF2-40B4-BE49-F238E27FC236}">
              <a16:creationId xmlns="" xmlns:a16="http://schemas.microsoft.com/office/drawing/2014/main" id="{73B163D6-1B6B-413B-BA5C-62C1730D797D}"/>
            </a:ext>
          </a:extLst>
        </cdr:cNvPr>
        <cdr:cNvSpPr>
          <a:spLocks xmlns:a="http://schemas.openxmlformats.org/drawingml/2006/main" noChangeShapeType="1"/>
        </cdr:cNvSpPr>
      </cdr:nvSpPr>
      <cdr:spPr bwMode="auto">
        <a:xfrm xmlns:a="http://schemas.openxmlformats.org/drawingml/2006/main" flipV="1">
          <a:off x="50800" y="50800"/>
          <a:ext cx="1634" cy="1161177"/>
        </a:xfrm>
        <a:prstGeom xmlns:a="http://schemas.openxmlformats.org/drawingml/2006/main" prst="line">
          <a:avLst/>
        </a:prstGeom>
        <a:noFill xmlns:a="http://schemas.openxmlformats.org/drawingml/2006/main"/>
        <a:ln xmlns:a="http://schemas.openxmlformats.org/drawingml/2006/main" w="38100">
          <a:solidFill>
            <a:srgbClr val="00B050"/>
          </a:solidFill>
          <a:round/>
          <a:headEnd/>
          <a:tailEnd/>
        </a:ln>
      </cdr:spPr>
      <cdr:txBody>
        <a:bodyPr xmlns:a="http://schemas.openxmlformats.org/drawingml/2006/main"/>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en-US"/>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14</xdr:col>
      <xdr:colOff>561975</xdr:colOff>
      <xdr:row>3</xdr:row>
      <xdr:rowOff>142875</xdr:rowOff>
    </xdr:from>
    <xdr:to>
      <xdr:col>20</xdr:col>
      <xdr:colOff>18546</xdr:colOff>
      <xdr:row>33</xdr:row>
      <xdr:rowOff>123080</xdr:rowOff>
    </xdr:to>
    <xdr:pic>
      <xdr:nvPicPr>
        <xdr:cNvPr id="3" name="Picture 2">
          <a:extLst>
            <a:ext uri="{FF2B5EF4-FFF2-40B4-BE49-F238E27FC236}">
              <a16:creationId xmlns="" xmlns:a16="http://schemas.microsoft.com/office/drawing/2014/main" id="{900AB614-2C9C-46C2-B257-358145F76349}"/>
            </a:ext>
          </a:extLst>
        </xdr:cNvPr>
        <xdr:cNvPicPr>
          <a:picLocks noChangeAspect="1"/>
        </xdr:cNvPicPr>
      </xdr:nvPicPr>
      <xdr:blipFill>
        <a:blip xmlns:r="http://schemas.openxmlformats.org/officeDocument/2006/relationships" r:embed="rId1"/>
        <a:stretch>
          <a:fillRect/>
        </a:stretch>
      </xdr:blipFill>
      <xdr:spPr>
        <a:xfrm>
          <a:off x="13325475" y="714375"/>
          <a:ext cx="4028571" cy="5961905"/>
        </a:xfrm>
        <a:prstGeom prst="rect">
          <a:avLst/>
        </a:prstGeom>
      </xdr:spPr>
    </xdr:pic>
    <xdr:clientData/>
  </xdr:twoCellAnchor>
  <xdr:twoCellAnchor editAs="oneCell">
    <xdr:from>
      <xdr:col>9</xdr:col>
      <xdr:colOff>266700</xdr:colOff>
      <xdr:row>3</xdr:row>
      <xdr:rowOff>142875</xdr:rowOff>
    </xdr:from>
    <xdr:to>
      <xdr:col>14</xdr:col>
      <xdr:colOff>542414</xdr:colOff>
      <xdr:row>33</xdr:row>
      <xdr:rowOff>65937</xdr:rowOff>
    </xdr:to>
    <xdr:pic>
      <xdr:nvPicPr>
        <xdr:cNvPr id="4" name="Picture 3">
          <a:extLst>
            <a:ext uri="{FF2B5EF4-FFF2-40B4-BE49-F238E27FC236}">
              <a16:creationId xmlns="" xmlns:a16="http://schemas.microsoft.com/office/drawing/2014/main" id="{69A7126E-6D94-4197-9C87-12CCB231E1DE}"/>
            </a:ext>
          </a:extLst>
        </xdr:cNvPr>
        <xdr:cNvPicPr>
          <a:picLocks noChangeAspect="1"/>
        </xdr:cNvPicPr>
      </xdr:nvPicPr>
      <xdr:blipFill>
        <a:blip xmlns:r="http://schemas.openxmlformats.org/officeDocument/2006/relationships" r:embed="rId2"/>
        <a:stretch>
          <a:fillRect/>
        </a:stretch>
      </xdr:blipFill>
      <xdr:spPr>
        <a:xfrm>
          <a:off x="9220200" y="714375"/>
          <a:ext cx="4085714" cy="5904762"/>
        </a:xfrm>
        <a:prstGeom prst="rect">
          <a:avLst/>
        </a:prstGeom>
      </xdr:spPr>
    </xdr:pic>
    <xdr:clientData/>
  </xdr:twoCellAnchor>
  <xdr:twoCellAnchor editAs="oneCell">
    <xdr:from>
      <xdr:col>4</xdr:col>
      <xdr:colOff>85725</xdr:colOff>
      <xdr:row>1</xdr:row>
      <xdr:rowOff>47625</xdr:rowOff>
    </xdr:from>
    <xdr:to>
      <xdr:col>9</xdr:col>
      <xdr:colOff>370963</xdr:colOff>
      <xdr:row>33</xdr:row>
      <xdr:rowOff>94449</xdr:rowOff>
    </xdr:to>
    <xdr:pic>
      <xdr:nvPicPr>
        <xdr:cNvPr id="5" name="Picture 4">
          <a:extLst>
            <a:ext uri="{FF2B5EF4-FFF2-40B4-BE49-F238E27FC236}">
              <a16:creationId xmlns="" xmlns:a16="http://schemas.microsoft.com/office/drawing/2014/main" id="{E661896C-142B-454A-A352-32E38435110B}"/>
            </a:ext>
          </a:extLst>
        </xdr:cNvPr>
        <xdr:cNvPicPr>
          <a:picLocks noChangeAspect="1"/>
        </xdr:cNvPicPr>
      </xdr:nvPicPr>
      <xdr:blipFill>
        <a:blip xmlns:r="http://schemas.openxmlformats.org/officeDocument/2006/relationships" r:embed="rId3"/>
        <a:stretch>
          <a:fillRect/>
        </a:stretch>
      </xdr:blipFill>
      <xdr:spPr>
        <a:xfrm>
          <a:off x="5229225" y="238125"/>
          <a:ext cx="4095238" cy="64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E23" sqref="E23"/>
    </sheetView>
  </sheetViews>
  <sheetFormatPr defaultRowHeight="15" x14ac:dyDescent="0.2"/>
  <cols>
    <col min="1" max="1" width="2.77734375" customWidth="1"/>
    <col min="2" max="2" width="16.77734375" customWidth="1"/>
    <col min="3" max="4" width="10.77734375" customWidth="1"/>
    <col min="5" max="5" width="15.77734375" customWidth="1"/>
    <col min="6" max="7" width="8.77734375" customWidth="1"/>
  </cols>
  <sheetData>
    <row r="1" spans="1:7" ht="45.75" customHeight="1" x14ac:dyDescent="0.2">
      <c r="A1" s="130" t="s">
        <v>181</v>
      </c>
      <c r="B1" s="131"/>
      <c r="C1" s="131"/>
      <c r="D1" s="131"/>
      <c r="E1" s="131"/>
      <c r="F1" s="131"/>
      <c r="G1" s="131"/>
    </row>
    <row r="3" spans="1:7" x14ac:dyDescent="0.2">
      <c r="A3" s="123" t="s">
        <v>182</v>
      </c>
    </row>
    <row r="4" spans="1:7" x14ac:dyDescent="0.2">
      <c r="B4" t="s">
        <v>183</v>
      </c>
      <c r="F4" s="121">
        <v>14</v>
      </c>
    </row>
    <row r="5" spans="1:7" x14ac:dyDescent="0.2">
      <c r="B5" t="s">
        <v>184</v>
      </c>
      <c r="F5" s="121">
        <v>14</v>
      </c>
    </row>
    <row r="6" spans="1:7" x14ac:dyDescent="0.2">
      <c r="B6" t="s">
        <v>185</v>
      </c>
      <c r="F6" s="121">
        <v>14</v>
      </c>
    </row>
    <row r="7" spans="1:7" x14ac:dyDescent="0.2">
      <c r="B7" t="s">
        <v>186</v>
      </c>
      <c r="F7" s="121" t="s">
        <v>187</v>
      </c>
    </row>
    <row r="9" spans="1:7" x14ac:dyDescent="0.2">
      <c r="A9" s="123" t="s">
        <v>188</v>
      </c>
    </row>
    <row r="10" spans="1:7" x14ac:dyDescent="0.2">
      <c r="B10" t="s">
        <v>189</v>
      </c>
      <c r="F10" s="121" t="s">
        <v>187</v>
      </c>
    </row>
    <row r="11" spans="1:7" x14ac:dyDescent="0.2">
      <c r="B11" t="s">
        <v>190</v>
      </c>
      <c r="F11" s="121" t="s">
        <v>187</v>
      </c>
    </row>
    <row r="12" spans="1:7" x14ac:dyDescent="0.2">
      <c r="B12" t="s">
        <v>191</v>
      </c>
      <c r="F12" s="121" t="s">
        <v>187</v>
      </c>
    </row>
    <row r="13" spans="1:7" x14ac:dyDescent="0.2">
      <c r="B13" t="s">
        <v>192</v>
      </c>
      <c r="F13" s="121" t="s">
        <v>187</v>
      </c>
    </row>
    <row r="15" spans="1:7" x14ac:dyDescent="0.2">
      <c r="A15" s="123" t="s">
        <v>193</v>
      </c>
    </row>
    <row r="16" spans="1:7" x14ac:dyDescent="0.2">
      <c r="B16" t="s">
        <v>110</v>
      </c>
      <c r="C16" s="121">
        <v>1</v>
      </c>
      <c r="D16" t="s">
        <v>195</v>
      </c>
      <c r="E16" t="s">
        <v>196</v>
      </c>
    </row>
    <row r="17" spans="1:7" x14ac:dyDescent="0.2">
      <c r="B17" t="s">
        <v>194</v>
      </c>
      <c r="C17" s="122" t="s">
        <v>199</v>
      </c>
      <c r="D17" t="s">
        <v>195</v>
      </c>
      <c r="E17" t="s">
        <v>197</v>
      </c>
    </row>
    <row r="19" spans="1:7" x14ac:dyDescent="0.2">
      <c r="A19" s="123" t="s">
        <v>198</v>
      </c>
    </row>
    <row r="20" spans="1:7" x14ac:dyDescent="0.2">
      <c r="B20" t="s">
        <v>200</v>
      </c>
      <c r="F20" s="121">
        <v>7</v>
      </c>
      <c r="G20" t="s">
        <v>202</v>
      </c>
    </row>
    <row r="21" spans="1:7" x14ac:dyDescent="0.2">
      <c r="B21" t="s">
        <v>201</v>
      </c>
      <c r="F21" s="121">
        <v>16</v>
      </c>
      <c r="G21" t="s">
        <v>202</v>
      </c>
    </row>
    <row r="22" spans="1:7" x14ac:dyDescent="0.2">
      <c r="B22" t="s">
        <v>203</v>
      </c>
      <c r="F22" s="121">
        <v>3677</v>
      </c>
      <c r="G22" t="s">
        <v>33</v>
      </c>
    </row>
    <row r="23" spans="1:7" x14ac:dyDescent="0.2">
      <c r="B23" t="s">
        <v>204</v>
      </c>
      <c r="F23" s="121">
        <v>3773</v>
      </c>
      <c r="G23" t="s">
        <v>33</v>
      </c>
    </row>
    <row r="24" spans="1:7" x14ac:dyDescent="0.2">
      <c r="B24" t="s">
        <v>205</v>
      </c>
      <c r="F24" s="121">
        <v>50</v>
      </c>
      <c r="G24" t="s">
        <v>33</v>
      </c>
    </row>
    <row r="25" spans="1:7" x14ac:dyDescent="0.2">
      <c r="B25" t="s">
        <v>206</v>
      </c>
      <c r="F25" s="121">
        <v>50</v>
      </c>
      <c r="G25" t="s">
        <v>33</v>
      </c>
    </row>
    <row r="27" spans="1:7" x14ac:dyDescent="0.2">
      <c r="A27" s="123" t="s">
        <v>207</v>
      </c>
    </row>
    <row r="28" spans="1:7" x14ac:dyDescent="0.2">
      <c r="B28" t="s">
        <v>208</v>
      </c>
      <c r="F28" s="121">
        <v>30</v>
      </c>
      <c r="G28" t="s">
        <v>209</v>
      </c>
    </row>
    <row r="29" spans="1:7" x14ac:dyDescent="0.2">
      <c r="B29" t="s">
        <v>210</v>
      </c>
      <c r="E29" s="132"/>
      <c r="F29" s="132"/>
    </row>
    <row r="30" spans="1:7" x14ac:dyDescent="0.2">
      <c r="B30" t="s">
        <v>211</v>
      </c>
      <c r="F30" s="121" t="s">
        <v>187</v>
      </c>
    </row>
    <row r="31" spans="1:7" x14ac:dyDescent="0.2">
      <c r="B31" t="s">
        <v>212</v>
      </c>
      <c r="F31" s="121"/>
    </row>
    <row r="33" spans="1:7" x14ac:dyDescent="0.2">
      <c r="A33" s="123" t="s">
        <v>213</v>
      </c>
    </row>
    <row r="34" spans="1:7" x14ac:dyDescent="0.2">
      <c r="B34" t="s">
        <v>214</v>
      </c>
      <c r="F34" s="121">
        <v>5</v>
      </c>
    </row>
    <row r="35" spans="1:7" x14ac:dyDescent="0.2">
      <c r="B35" t="s">
        <v>216</v>
      </c>
      <c r="F35" s="121">
        <v>16</v>
      </c>
    </row>
    <row r="36" spans="1:7" x14ac:dyDescent="0.2">
      <c r="B36" t="s">
        <v>215</v>
      </c>
      <c r="F36" s="120">
        <v>24</v>
      </c>
    </row>
    <row r="37" spans="1:7" x14ac:dyDescent="0.2">
      <c r="B37" t="s">
        <v>217</v>
      </c>
      <c r="F37" s="120">
        <v>2</v>
      </c>
    </row>
    <row r="38" spans="1:7" x14ac:dyDescent="0.2">
      <c r="B38" t="s">
        <v>218</v>
      </c>
      <c r="F38" s="120">
        <v>5</v>
      </c>
    </row>
    <row r="40" spans="1:7" x14ac:dyDescent="0.2">
      <c r="A40" s="123" t="s">
        <v>219</v>
      </c>
    </row>
    <row r="41" spans="1:7" x14ac:dyDescent="0.2">
      <c r="B41" t="s">
        <v>220</v>
      </c>
      <c r="F41" s="121" t="s">
        <v>187</v>
      </c>
    </row>
    <row r="42" spans="1:7" x14ac:dyDescent="0.2">
      <c r="B42" t="s">
        <v>221</v>
      </c>
      <c r="F42" s="121" t="s">
        <v>187</v>
      </c>
    </row>
    <row r="43" spans="1:7" x14ac:dyDescent="0.2">
      <c r="B43" t="s">
        <v>222</v>
      </c>
      <c r="C43" s="119"/>
      <c r="D43" s="119"/>
      <c r="E43" s="119"/>
      <c r="F43" s="119"/>
      <c r="G43" s="119"/>
    </row>
    <row r="45" spans="1:7" x14ac:dyDescent="0.2">
      <c r="A45" s="123" t="s">
        <v>223</v>
      </c>
    </row>
    <row r="46" spans="1:7" x14ac:dyDescent="0.2">
      <c r="B46" t="s">
        <v>224</v>
      </c>
      <c r="F46" s="121"/>
    </row>
    <row r="47" spans="1:7" x14ac:dyDescent="0.2">
      <c r="B47" t="s">
        <v>225</v>
      </c>
      <c r="F47" s="121">
        <v>3500</v>
      </c>
      <c r="G47" t="s">
        <v>33</v>
      </c>
    </row>
    <row r="48" spans="1:7" x14ac:dyDescent="0.2">
      <c r="B48" t="s">
        <v>226</v>
      </c>
      <c r="F48" s="121" t="s">
        <v>199</v>
      </c>
      <c r="G48" t="s">
        <v>33</v>
      </c>
    </row>
    <row r="49" spans="1:7" x14ac:dyDescent="0.2">
      <c r="B49" t="s">
        <v>228</v>
      </c>
      <c r="F49" s="121">
        <v>10</v>
      </c>
      <c r="G49" t="s">
        <v>229</v>
      </c>
    </row>
    <row r="50" spans="1:7" x14ac:dyDescent="0.2">
      <c r="B50" t="s">
        <v>227</v>
      </c>
      <c r="F50" s="121" t="s">
        <v>199</v>
      </c>
      <c r="G50" t="s">
        <v>229</v>
      </c>
    </row>
    <row r="52" spans="1:7" x14ac:dyDescent="0.2">
      <c r="A52" s="123" t="s">
        <v>230</v>
      </c>
    </row>
    <row r="53" spans="1:7" x14ac:dyDescent="0.2">
      <c r="B53" t="s">
        <v>231</v>
      </c>
      <c r="C53" s="121"/>
      <c r="E53" t="s">
        <v>234</v>
      </c>
      <c r="F53" s="121"/>
    </row>
    <row r="54" spans="1:7" x14ac:dyDescent="0.2">
      <c r="B54" t="s">
        <v>232</v>
      </c>
      <c r="C54" s="121"/>
      <c r="E54" t="s">
        <v>235</v>
      </c>
      <c r="F54" s="121"/>
    </row>
    <row r="55" spans="1:7" x14ac:dyDescent="0.2">
      <c r="B55" t="s">
        <v>233</v>
      </c>
      <c r="C55" s="121"/>
      <c r="E55" t="s">
        <v>236</v>
      </c>
      <c r="F55" s="121"/>
    </row>
  </sheetData>
  <mergeCells count="2">
    <mergeCell ref="A1:G1"/>
    <mergeCell ref="E29:F29"/>
  </mergeCells>
  <pageMargins left="0.7" right="0.7" top="0.75" bottom="0.75" header="0.3" footer="0.3"/>
  <pageSetup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zoomScaleNormal="100" workbookViewId="0">
      <selection activeCell="G9" sqref="G9"/>
    </sheetView>
  </sheetViews>
  <sheetFormatPr defaultRowHeight="15" x14ac:dyDescent="0.2"/>
  <cols>
    <col min="1" max="1" width="16.5546875" customWidth="1"/>
    <col min="2" max="7" width="12.21875" customWidth="1"/>
    <col min="8" max="8" width="2.33203125" customWidth="1"/>
  </cols>
  <sheetData>
    <row r="1" spans="1:8" ht="45" x14ac:dyDescent="0.2">
      <c r="A1" s="130" t="s">
        <v>180</v>
      </c>
      <c r="B1" s="131"/>
      <c r="C1" s="131"/>
      <c r="D1" s="131"/>
      <c r="E1" s="131"/>
      <c r="F1" s="131"/>
      <c r="G1" s="131"/>
      <c r="H1" s="104" t="s">
        <v>174</v>
      </c>
    </row>
    <row r="2" spans="1:8" ht="45" x14ac:dyDescent="0.2">
      <c r="A2" s="141" t="s">
        <v>178</v>
      </c>
      <c r="B2" s="142"/>
      <c r="C2" s="142"/>
      <c r="D2" s="142"/>
      <c r="E2" s="142"/>
      <c r="F2" s="142"/>
      <c r="G2" s="142"/>
      <c r="H2" s="104" t="s">
        <v>174</v>
      </c>
    </row>
    <row r="3" spans="1:8" ht="45.75" thickBot="1" x14ac:dyDescent="0.25">
      <c r="A3" s="141" t="s">
        <v>179</v>
      </c>
      <c r="B3" s="142"/>
      <c r="C3" s="142"/>
      <c r="D3" s="142"/>
      <c r="E3" s="142"/>
      <c r="F3" s="142"/>
      <c r="G3" s="142"/>
      <c r="H3" s="104" t="s">
        <v>174</v>
      </c>
    </row>
    <row r="4" spans="1:8" ht="27" customHeight="1" x14ac:dyDescent="0.25">
      <c r="A4" s="105"/>
      <c r="B4" s="106">
        <v>1</v>
      </c>
      <c r="C4" s="106">
        <v>2</v>
      </c>
      <c r="D4" s="106">
        <v>3</v>
      </c>
      <c r="E4" s="106">
        <v>4</v>
      </c>
      <c r="F4" s="106">
        <v>5</v>
      </c>
      <c r="G4" s="107" t="s">
        <v>104</v>
      </c>
    </row>
    <row r="5" spans="1:8" s="103" customFormat="1" ht="30" x14ac:dyDescent="0.2">
      <c r="A5" s="112" t="s">
        <v>105</v>
      </c>
      <c r="B5" s="113" t="s">
        <v>106</v>
      </c>
      <c r="C5" s="116"/>
      <c r="D5" s="113" t="s">
        <v>107</v>
      </c>
      <c r="E5" s="116"/>
      <c r="F5" s="113" t="s">
        <v>108</v>
      </c>
      <c r="G5" s="118">
        <v>1</v>
      </c>
    </row>
    <row r="6" spans="1:8" s="103" customFormat="1" ht="30" x14ac:dyDescent="0.2">
      <c r="A6" s="112" t="s">
        <v>109</v>
      </c>
      <c r="B6" s="113" t="s">
        <v>110</v>
      </c>
      <c r="C6" s="116"/>
      <c r="D6" s="113" t="s">
        <v>111</v>
      </c>
      <c r="E6" s="116"/>
      <c r="F6" s="113" t="s">
        <v>112</v>
      </c>
      <c r="G6" s="118">
        <v>1</v>
      </c>
    </row>
    <row r="7" spans="1:8" s="103" customFormat="1" ht="30" x14ac:dyDescent="0.2">
      <c r="A7" s="112" t="s">
        <v>118</v>
      </c>
      <c r="B7" s="113" t="s">
        <v>113</v>
      </c>
      <c r="C7" s="113" t="s">
        <v>114</v>
      </c>
      <c r="D7" s="113" t="s">
        <v>115</v>
      </c>
      <c r="E7" s="113" t="s">
        <v>116</v>
      </c>
      <c r="F7" s="113" t="s">
        <v>117</v>
      </c>
      <c r="G7" s="118">
        <v>5</v>
      </c>
    </row>
    <row r="8" spans="1:8" ht="30" x14ac:dyDescent="0.2">
      <c r="A8" s="112" t="s">
        <v>119</v>
      </c>
      <c r="B8" s="113" t="s">
        <v>120</v>
      </c>
      <c r="C8" s="113" t="s">
        <v>121</v>
      </c>
      <c r="D8" s="116"/>
      <c r="E8" s="113" t="s">
        <v>122</v>
      </c>
      <c r="F8" s="113" t="s">
        <v>123</v>
      </c>
      <c r="G8" s="118">
        <v>2</v>
      </c>
    </row>
    <row r="9" spans="1:8" ht="30" x14ac:dyDescent="0.2">
      <c r="A9" s="112" t="s">
        <v>124</v>
      </c>
      <c r="B9" s="113" t="s">
        <v>126</v>
      </c>
      <c r="C9" s="114" t="s">
        <v>125</v>
      </c>
      <c r="D9" s="114" t="s">
        <v>127</v>
      </c>
      <c r="E9" s="114" t="s">
        <v>128</v>
      </c>
      <c r="F9" s="114" t="s">
        <v>129</v>
      </c>
      <c r="G9" s="118">
        <v>1</v>
      </c>
    </row>
    <row r="10" spans="1:8" ht="30" x14ac:dyDescent="0.2">
      <c r="A10" s="112" t="s">
        <v>130</v>
      </c>
      <c r="B10" s="113" t="s">
        <v>131</v>
      </c>
      <c r="C10" s="114" t="s">
        <v>132</v>
      </c>
      <c r="D10" s="114" t="s">
        <v>133</v>
      </c>
      <c r="E10" s="114" t="s">
        <v>134</v>
      </c>
      <c r="F10" s="114" t="s">
        <v>135</v>
      </c>
      <c r="G10" s="118">
        <v>1</v>
      </c>
    </row>
    <row r="11" spans="1:8" ht="30" x14ac:dyDescent="0.2">
      <c r="A11" s="112" t="s">
        <v>136</v>
      </c>
      <c r="B11" s="113" t="s">
        <v>138</v>
      </c>
      <c r="C11" s="113" t="s">
        <v>139</v>
      </c>
      <c r="D11" s="113" t="s">
        <v>140</v>
      </c>
      <c r="E11" s="113" t="s">
        <v>141</v>
      </c>
      <c r="F11" s="113" t="s">
        <v>142</v>
      </c>
      <c r="G11" s="118">
        <v>1</v>
      </c>
    </row>
    <row r="12" spans="1:8" ht="30" x14ac:dyDescent="0.2">
      <c r="A12" s="112" t="s">
        <v>137</v>
      </c>
      <c r="B12" s="113" t="s">
        <v>138</v>
      </c>
      <c r="C12" s="113" t="s">
        <v>139</v>
      </c>
      <c r="D12" s="113" t="s">
        <v>140</v>
      </c>
      <c r="E12" s="113" t="s">
        <v>141</v>
      </c>
      <c r="F12" s="113" t="s">
        <v>142</v>
      </c>
      <c r="G12" s="118">
        <v>1</v>
      </c>
    </row>
    <row r="13" spans="1:8" ht="36" x14ac:dyDescent="0.2">
      <c r="A13" s="112" t="s">
        <v>143</v>
      </c>
      <c r="B13" s="113" t="s">
        <v>144</v>
      </c>
      <c r="C13" s="116"/>
      <c r="D13" s="117" t="s">
        <v>145</v>
      </c>
      <c r="E13" s="116"/>
      <c r="F13" s="117" t="s">
        <v>146</v>
      </c>
      <c r="G13" s="118">
        <v>1</v>
      </c>
    </row>
    <row r="14" spans="1:8" ht="45" x14ac:dyDescent="0.2">
      <c r="A14" s="112" t="s">
        <v>147</v>
      </c>
      <c r="B14" s="113" t="s">
        <v>148</v>
      </c>
      <c r="C14" s="116"/>
      <c r="D14" s="113" t="s">
        <v>149</v>
      </c>
      <c r="E14" s="116"/>
      <c r="F14" s="116"/>
      <c r="G14" s="118">
        <v>5</v>
      </c>
    </row>
    <row r="15" spans="1:8" ht="30" x14ac:dyDescent="0.2">
      <c r="A15" s="112" t="s">
        <v>150</v>
      </c>
      <c r="B15" s="113" t="s">
        <v>151</v>
      </c>
      <c r="C15" s="113" t="s">
        <v>152</v>
      </c>
      <c r="D15" s="113" t="s">
        <v>153</v>
      </c>
      <c r="E15" s="113" t="s">
        <v>154</v>
      </c>
      <c r="F15" s="113" t="s">
        <v>155</v>
      </c>
      <c r="G15" s="118">
        <v>4</v>
      </c>
    </row>
    <row r="16" spans="1:8" ht="30" x14ac:dyDescent="0.2">
      <c r="A16" s="112" t="s">
        <v>156</v>
      </c>
      <c r="B16" s="113" t="s">
        <v>157</v>
      </c>
      <c r="C16" s="113" t="s">
        <v>158</v>
      </c>
      <c r="D16" s="115" t="s">
        <v>159</v>
      </c>
      <c r="E16" s="115" t="s">
        <v>160</v>
      </c>
      <c r="F16" s="113" t="s">
        <v>161</v>
      </c>
      <c r="G16" s="118">
        <v>2</v>
      </c>
    </row>
    <row r="17" spans="1:8" ht="30" x14ac:dyDescent="0.2">
      <c r="A17" s="112" t="s">
        <v>162</v>
      </c>
      <c r="B17" s="113" t="s">
        <v>163</v>
      </c>
      <c r="C17" s="113" t="s">
        <v>164</v>
      </c>
      <c r="D17" s="113" t="s">
        <v>165</v>
      </c>
      <c r="E17" s="113" t="s">
        <v>166</v>
      </c>
      <c r="F17" s="113" t="s">
        <v>167</v>
      </c>
      <c r="G17" s="118">
        <v>5</v>
      </c>
    </row>
    <row r="18" spans="1:8" ht="30.75" customHeight="1" thickBot="1" x14ac:dyDescent="0.25">
      <c r="A18" s="133" t="s">
        <v>168</v>
      </c>
      <c r="B18" s="134"/>
      <c r="C18" s="134"/>
      <c r="D18" s="134"/>
      <c r="E18" s="134"/>
      <c r="F18" s="134"/>
      <c r="G18" s="110">
        <f>SUM(G5:G17)</f>
        <v>30</v>
      </c>
    </row>
    <row r="19" spans="1:8" ht="30" x14ac:dyDescent="0.2">
      <c r="A19" s="135" t="s">
        <v>172</v>
      </c>
      <c r="B19" s="136"/>
      <c r="C19" s="136"/>
      <c r="D19" s="136"/>
      <c r="E19" s="136"/>
      <c r="F19" s="136"/>
      <c r="G19" s="111" t="s">
        <v>169</v>
      </c>
      <c r="H19" s="104" t="s">
        <v>175</v>
      </c>
    </row>
    <row r="20" spans="1:8" ht="45" x14ac:dyDescent="0.2">
      <c r="A20" s="137" t="s">
        <v>173</v>
      </c>
      <c r="B20" s="138"/>
      <c r="C20" s="138"/>
      <c r="D20" s="138"/>
      <c r="E20" s="138"/>
      <c r="F20" s="138"/>
      <c r="G20" s="108" t="s">
        <v>170</v>
      </c>
      <c r="H20" s="104" t="s">
        <v>174</v>
      </c>
    </row>
    <row r="21" spans="1:8" ht="105.75" thickBot="1" x14ac:dyDescent="0.25">
      <c r="A21" s="139" t="s">
        <v>176</v>
      </c>
      <c r="B21" s="140"/>
      <c r="C21" s="140"/>
      <c r="D21" s="140"/>
      <c r="E21" s="140"/>
      <c r="F21" s="140"/>
      <c r="G21" s="109" t="s">
        <v>171</v>
      </c>
      <c r="H21" s="104" t="s">
        <v>177</v>
      </c>
    </row>
  </sheetData>
  <mergeCells count="7">
    <mergeCell ref="A1:G1"/>
    <mergeCell ref="A18:F18"/>
    <mergeCell ref="A19:F19"/>
    <mergeCell ref="A20:F20"/>
    <mergeCell ref="A21:F21"/>
    <mergeCell ref="A2:G2"/>
    <mergeCell ref="A3:G3"/>
  </mergeCells>
  <conditionalFormatting sqref="G18">
    <cfRule type="cellIs" dxfId="19" priority="1" operator="between">
      <formula>31</formula>
      <formula>47</formula>
    </cfRule>
    <cfRule type="cellIs" dxfId="18" priority="2" operator="greaterThan">
      <formula>47</formula>
    </cfRule>
    <cfRule type="cellIs" dxfId="17" priority="3" operator="lessThan">
      <formula>31</formula>
    </cfRule>
    <cfRule type="colorScale" priority="4">
      <colorScale>
        <cfvo type="num" val="30"/>
        <cfvo type="percentile" val="63"/>
        <cfvo type="max"/>
        <color rgb="FF00B050"/>
        <color rgb="FFFFFF00"/>
        <color rgb="FFFF0000"/>
      </colorScale>
    </cfRule>
  </conditionalFormatting>
  <pageMargins left="0.7" right="0.7" top="0.75" bottom="0.75" header="0.3" footer="0.3"/>
  <pageSetup scale="77" orientation="portrait" r:id="rId1"/>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
  <sheetViews>
    <sheetView zoomScaleNormal="100" workbookViewId="0">
      <selection activeCell="G15" sqref="G15"/>
    </sheetView>
  </sheetViews>
  <sheetFormatPr defaultColWidth="9.77734375" defaultRowHeight="12.75" x14ac:dyDescent="0.2"/>
  <cols>
    <col min="1" max="1" width="20.44140625" style="2" customWidth="1"/>
    <col min="2" max="2" width="7.109375" style="2" customWidth="1"/>
    <col min="3" max="3" width="6.21875" style="2" customWidth="1"/>
    <col min="4" max="4" width="7.77734375" style="25" bestFit="1" customWidth="1"/>
    <col min="5" max="5" width="7.33203125" style="2" customWidth="1"/>
    <col min="6" max="6" width="6.44140625" style="2" customWidth="1"/>
    <col min="7" max="7" width="5.88671875" style="2" customWidth="1"/>
    <col min="8" max="8" width="18.5546875" style="2" customWidth="1"/>
    <col min="9" max="16384" width="9.77734375" style="2"/>
  </cols>
  <sheetData>
    <row r="1" spans="1:7" ht="15.75" customHeight="1" x14ac:dyDescent="0.2">
      <c r="A1" s="149" t="s">
        <v>95</v>
      </c>
      <c r="B1" s="149"/>
      <c r="C1" s="149"/>
      <c r="D1" s="149"/>
      <c r="E1" s="149"/>
      <c r="F1" s="149"/>
      <c r="G1" s="149"/>
    </row>
    <row r="2" spans="1:7" x14ac:dyDescent="0.2">
      <c r="A2" s="67" t="s">
        <v>30</v>
      </c>
      <c r="B2" s="67" t="s">
        <v>3</v>
      </c>
      <c r="C2" s="67" t="s">
        <v>0</v>
      </c>
      <c r="D2" s="67" t="s">
        <v>6</v>
      </c>
      <c r="E2" s="67" t="s">
        <v>1</v>
      </c>
      <c r="F2" s="13"/>
      <c r="G2" s="14"/>
    </row>
    <row r="3" spans="1:7" x14ac:dyDescent="0.2">
      <c r="A3" s="26" t="s">
        <v>7</v>
      </c>
      <c r="B3" s="27">
        <v>1691</v>
      </c>
      <c r="C3" s="28">
        <f>B3</f>
        <v>1691</v>
      </c>
      <c r="D3" s="29">
        <v>40.89</v>
      </c>
      <c r="E3" s="30">
        <f t="shared" ref="E3:E9" si="0">ROUND(C3*D3/1000,2)</f>
        <v>69.14</v>
      </c>
      <c r="F3" s="15"/>
      <c r="G3" s="14"/>
    </row>
    <row r="4" spans="1:7" x14ac:dyDescent="0.2">
      <c r="A4" s="26" t="s">
        <v>8</v>
      </c>
      <c r="B4" s="31">
        <v>220</v>
      </c>
      <c r="C4" s="32">
        <f t="shared" ref="C4:C9" si="1">B4</f>
        <v>220</v>
      </c>
      <c r="D4" s="29">
        <v>37</v>
      </c>
      <c r="E4" s="30">
        <f t="shared" si="0"/>
        <v>8.14</v>
      </c>
      <c r="F4" s="13"/>
      <c r="G4" s="14"/>
    </row>
    <row r="5" spans="1:7" x14ac:dyDescent="0.2">
      <c r="A5" s="26" t="s">
        <v>9</v>
      </c>
      <c r="B5" s="31">
        <v>100</v>
      </c>
      <c r="C5" s="32">
        <f t="shared" si="1"/>
        <v>100</v>
      </c>
      <c r="D5" s="29">
        <v>37</v>
      </c>
      <c r="E5" s="30">
        <f t="shared" si="0"/>
        <v>3.7</v>
      </c>
      <c r="F5" s="13"/>
      <c r="G5" s="14"/>
    </row>
    <row r="6" spans="1:7" x14ac:dyDescent="0.2">
      <c r="A6" s="26" t="s">
        <v>10</v>
      </c>
      <c r="B6" s="33">
        <v>180</v>
      </c>
      <c r="C6" s="32">
        <f t="shared" si="1"/>
        <v>180</v>
      </c>
      <c r="D6" s="29">
        <v>73</v>
      </c>
      <c r="E6" s="30">
        <f t="shared" si="0"/>
        <v>13.14</v>
      </c>
      <c r="F6" s="13"/>
      <c r="G6" s="14"/>
    </row>
    <row r="7" spans="1:7" x14ac:dyDescent="0.2">
      <c r="A7" s="26" t="s">
        <v>11</v>
      </c>
      <c r="B7" s="33">
        <v>0</v>
      </c>
      <c r="C7" s="32">
        <f t="shared" si="1"/>
        <v>0</v>
      </c>
      <c r="D7" s="29">
        <v>73</v>
      </c>
      <c r="E7" s="30">
        <f t="shared" si="0"/>
        <v>0</v>
      </c>
      <c r="F7" s="13"/>
      <c r="G7" s="14"/>
    </row>
    <row r="8" spans="1:7" x14ac:dyDescent="0.2">
      <c r="A8" s="26" t="s">
        <v>12</v>
      </c>
      <c r="B8" s="31">
        <v>0</v>
      </c>
      <c r="C8" s="32">
        <f t="shared" si="1"/>
        <v>0</v>
      </c>
      <c r="D8" s="29">
        <v>95</v>
      </c>
      <c r="E8" s="30">
        <f t="shared" si="0"/>
        <v>0</v>
      </c>
      <c r="F8" s="13"/>
      <c r="G8" s="14"/>
    </row>
    <row r="9" spans="1:7" x14ac:dyDescent="0.2">
      <c r="A9" s="26" t="s">
        <v>13</v>
      </c>
      <c r="B9" s="31">
        <v>10</v>
      </c>
      <c r="C9" s="32">
        <f t="shared" si="1"/>
        <v>10</v>
      </c>
      <c r="D9" s="29">
        <v>123</v>
      </c>
      <c r="E9" s="30">
        <f t="shared" si="0"/>
        <v>1.23</v>
      </c>
      <c r="F9" s="13"/>
      <c r="G9" s="14"/>
    </row>
    <row r="10" spans="1:7" ht="13.5" thickBot="1" x14ac:dyDescent="0.25">
      <c r="A10" s="34" t="s">
        <v>14</v>
      </c>
      <c r="B10" s="35">
        <v>56</v>
      </c>
      <c r="C10" s="36">
        <f>B10*6</f>
        <v>336</v>
      </c>
      <c r="D10" s="37">
        <v>48</v>
      </c>
      <c r="E10" s="38">
        <f>ROUND(C10*D10/1000,2)</f>
        <v>16.13</v>
      </c>
      <c r="F10" s="13"/>
      <c r="G10" s="14"/>
    </row>
    <row r="11" spans="1:7" ht="16.5" thickTop="1" x14ac:dyDescent="0.2">
      <c r="A11" s="143" t="s">
        <v>15</v>
      </c>
      <c r="B11" s="144"/>
      <c r="C11" s="39">
        <f>SUM(C3:C10)</f>
        <v>2537</v>
      </c>
      <c r="D11" s="40">
        <f>ROUND(E11/C11*1000,2)</f>
        <v>43.94</v>
      </c>
      <c r="E11" s="41">
        <f>SUM(E3:E10)</f>
        <v>111.48</v>
      </c>
      <c r="F11" s="13"/>
      <c r="G11" s="14"/>
    </row>
    <row r="12" spans="1:7" ht="15.75" x14ac:dyDescent="0.2">
      <c r="A12" s="145" t="s">
        <v>16</v>
      </c>
      <c r="B12" s="146"/>
      <c r="C12" s="42">
        <v>-7</v>
      </c>
      <c r="D12" s="43">
        <f>D10</f>
        <v>48</v>
      </c>
      <c r="E12" s="44">
        <f>ROUND(C12*D12/1000,2)</f>
        <v>-0.34</v>
      </c>
      <c r="F12" s="13"/>
      <c r="G12" s="14"/>
    </row>
    <row r="13" spans="1:7" ht="16.5" thickBot="1" x14ac:dyDescent="0.25">
      <c r="A13" s="147" t="s">
        <v>17</v>
      </c>
      <c r="B13" s="148"/>
      <c r="C13" s="45">
        <f>ROUND(SUM(C11:C12),0)</f>
        <v>2530</v>
      </c>
      <c r="D13" s="46">
        <f>ROUND(E13/C13*1000,2)</f>
        <v>43.93</v>
      </c>
      <c r="E13" s="47">
        <f>SUM(E11:E12)</f>
        <v>111.14</v>
      </c>
      <c r="F13" s="13"/>
      <c r="G13" s="14"/>
    </row>
    <row r="14" spans="1:7" ht="13.5" thickTop="1" x14ac:dyDescent="0.2">
      <c r="A14" s="26" t="s">
        <v>18</v>
      </c>
      <c r="B14" s="39">
        <v>2550</v>
      </c>
      <c r="C14" s="48" t="str">
        <f>IF(C13&gt;B14,C13-B14,"Ok")</f>
        <v>Ok</v>
      </c>
      <c r="D14" s="49" t="str">
        <f>IF(C14&gt;B14,"","Over Gross")</f>
        <v/>
      </c>
      <c r="E14" s="50"/>
      <c r="F14" s="13"/>
      <c r="G14" s="14"/>
    </row>
    <row r="15" spans="1:7" x14ac:dyDescent="0.2">
      <c r="A15" s="26" t="s">
        <v>19</v>
      </c>
      <c r="B15" s="51">
        <f>SUM(B14-B3)</f>
        <v>859</v>
      </c>
      <c r="C15" s="51"/>
      <c r="D15" s="50"/>
      <c r="E15" s="50"/>
      <c r="F15" s="13"/>
      <c r="G15" s="14"/>
    </row>
    <row r="16" spans="1:7" x14ac:dyDescent="0.2">
      <c r="A16" s="26" t="s">
        <v>20</v>
      </c>
      <c r="B16" s="51">
        <f>SUM(C13-B3)</f>
        <v>839</v>
      </c>
      <c r="C16" s="51"/>
      <c r="D16" s="50"/>
      <c r="E16" s="50"/>
      <c r="F16" s="13"/>
      <c r="G16" s="14"/>
    </row>
    <row r="17" spans="1:7" x14ac:dyDescent="0.2">
      <c r="A17" s="26" t="s">
        <v>21</v>
      </c>
      <c r="B17" s="51">
        <f>SUM(B15-B16)</f>
        <v>20</v>
      </c>
      <c r="C17" s="51"/>
      <c r="D17" s="50"/>
      <c r="E17" s="50"/>
      <c r="F17" s="13"/>
      <c r="G17" s="14"/>
    </row>
    <row r="18" spans="1:7" x14ac:dyDescent="0.2">
      <c r="A18" s="52"/>
      <c r="B18" s="52"/>
      <c r="C18" s="52"/>
      <c r="D18" s="50"/>
      <c r="E18" s="52"/>
      <c r="F18" s="14"/>
      <c r="G18" s="14"/>
    </row>
    <row r="19" spans="1:7" s="3" customFormat="1" x14ac:dyDescent="0.2">
      <c r="A19" s="53" t="s">
        <v>22</v>
      </c>
      <c r="B19" s="54"/>
      <c r="C19" s="54"/>
      <c r="D19" s="55"/>
      <c r="E19" s="54"/>
      <c r="F19" s="17"/>
      <c r="G19" s="17"/>
    </row>
    <row r="20" spans="1:7" s="3" customFormat="1" x14ac:dyDescent="0.2">
      <c r="A20" s="56" t="s">
        <v>25</v>
      </c>
      <c r="B20" s="54"/>
      <c r="C20" s="54"/>
      <c r="D20" s="55"/>
      <c r="E20" s="54"/>
      <c r="F20" s="17"/>
      <c r="G20" s="17"/>
    </row>
    <row r="21" spans="1:7" s="3" customFormat="1" x14ac:dyDescent="0.2">
      <c r="A21" s="56" t="s">
        <v>2</v>
      </c>
      <c r="B21" s="54"/>
      <c r="C21" s="54"/>
      <c r="D21" s="55"/>
      <c r="E21" s="54"/>
      <c r="F21" s="17"/>
      <c r="G21" s="17"/>
    </row>
    <row r="22" spans="1:7" s="3" customFormat="1" x14ac:dyDescent="0.2">
      <c r="A22" s="54"/>
      <c r="B22" s="54"/>
      <c r="C22" s="54"/>
      <c r="D22" s="55"/>
      <c r="E22" s="54"/>
      <c r="F22" s="17"/>
      <c r="G22" s="17"/>
    </row>
    <row r="23" spans="1:7" s="3" customFormat="1" ht="14.25" x14ac:dyDescent="0.25">
      <c r="A23" s="58" t="s">
        <v>31</v>
      </c>
      <c r="B23" s="57" t="s">
        <v>0</v>
      </c>
      <c r="C23" s="57" t="s">
        <v>26</v>
      </c>
      <c r="D23" s="57" t="s">
        <v>27</v>
      </c>
      <c r="E23" s="57" t="s">
        <v>29</v>
      </c>
      <c r="F23" s="57" t="s">
        <v>28</v>
      </c>
    </row>
    <row r="24" spans="1:7" s="3" customFormat="1" x14ac:dyDescent="0.2">
      <c r="A24" s="58" t="s">
        <v>23</v>
      </c>
      <c r="B24" s="59">
        <f>B14</f>
        <v>2550</v>
      </c>
      <c r="C24" s="59">
        <v>105</v>
      </c>
      <c r="D24" s="59">
        <v>68</v>
      </c>
      <c r="E24" s="59">
        <v>48</v>
      </c>
      <c r="F24" s="59">
        <v>40</v>
      </c>
    </row>
    <row r="25" spans="1:7" s="4" customFormat="1" ht="15" x14ac:dyDescent="0.2">
      <c r="A25" s="60" t="s">
        <v>24</v>
      </c>
      <c r="B25" s="59">
        <f>ROUND(C13,0)</f>
        <v>2530</v>
      </c>
      <c r="C25" s="55">
        <f>ROUND(SQRT($B$25/$B$24)*C24,0)</f>
        <v>105</v>
      </c>
      <c r="D25" s="55">
        <f>ROUND(SQRT($B$25/$B$24)*D24,0)</f>
        <v>68</v>
      </c>
      <c r="E25" s="59">
        <f>ROUND(SQRT($B$25/$B$24)*E24,0)</f>
        <v>48</v>
      </c>
      <c r="F25" s="59">
        <f>ROUND(SQRT($B$25/$B$24)*F24,0)</f>
        <v>40</v>
      </c>
    </row>
    <row r="26" spans="1:7" s="4" customFormat="1" ht="15.75" x14ac:dyDescent="0.2">
      <c r="A26" s="19"/>
      <c r="B26" s="19"/>
      <c r="C26" s="18"/>
      <c r="D26" s="18"/>
      <c r="E26" s="19"/>
      <c r="F26" s="19"/>
      <c r="G26" s="19"/>
    </row>
    <row r="27" spans="1:7" s="4" customFormat="1" ht="15.75" x14ac:dyDescent="0.2">
      <c r="A27" s="19"/>
      <c r="B27" s="19"/>
      <c r="C27" s="18"/>
      <c r="D27" s="18"/>
      <c r="E27" s="19"/>
      <c r="F27" s="19"/>
      <c r="G27" s="19"/>
    </row>
    <row r="28" spans="1:7" s="4" customFormat="1" ht="15.75" x14ac:dyDescent="0.2">
      <c r="A28" s="19"/>
      <c r="B28" s="19"/>
      <c r="C28" s="19"/>
      <c r="D28" s="22"/>
      <c r="E28" s="19"/>
      <c r="F28" s="19"/>
      <c r="G28" s="19"/>
    </row>
    <row r="29" spans="1:7" s="4" customFormat="1" ht="15.75" x14ac:dyDescent="0.2">
      <c r="A29" s="19"/>
      <c r="B29" s="19"/>
      <c r="C29" s="19"/>
      <c r="D29" s="22"/>
      <c r="E29" s="19"/>
      <c r="F29" s="19"/>
      <c r="G29" s="19"/>
    </row>
    <row r="30" spans="1:7" s="4" customFormat="1" ht="15.75" x14ac:dyDescent="0.2">
      <c r="A30" s="19"/>
      <c r="B30" s="19"/>
      <c r="C30" s="19"/>
      <c r="D30" s="22"/>
      <c r="E30" s="19"/>
      <c r="F30" s="19"/>
      <c r="G30" s="19"/>
    </row>
    <row r="31" spans="1:7" s="4" customFormat="1" ht="15.75" x14ac:dyDescent="0.2">
      <c r="A31" s="19"/>
      <c r="B31" s="19"/>
      <c r="C31" s="19"/>
      <c r="D31" s="22"/>
      <c r="E31" s="19"/>
      <c r="F31" s="19"/>
      <c r="G31" s="19"/>
    </row>
    <row r="32" spans="1:7" s="4" customFormat="1" ht="15.75" x14ac:dyDescent="0.2">
      <c r="A32" s="19"/>
      <c r="B32" s="19"/>
      <c r="C32" s="19"/>
      <c r="D32" s="22"/>
      <c r="E32" s="19"/>
      <c r="F32" s="19"/>
      <c r="G32" s="19"/>
    </row>
    <row r="33" spans="1:7" x14ac:dyDescent="0.2">
      <c r="A33" s="13"/>
      <c r="B33" s="13"/>
      <c r="C33" s="13"/>
      <c r="D33" s="16"/>
      <c r="E33" s="13"/>
      <c r="F33" s="14"/>
      <c r="G33" s="14"/>
    </row>
    <row r="34" spans="1:7" x14ac:dyDescent="0.2">
      <c r="A34" s="14"/>
      <c r="B34" s="14"/>
      <c r="C34" s="14"/>
      <c r="D34" s="23"/>
      <c r="E34" s="14"/>
      <c r="F34" s="14"/>
      <c r="G34" s="14"/>
    </row>
    <row r="35" spans="1:7" s="4" customFormat="1" ht="15.75" x14ac:dyDescent="0.2">
      <c r="A35" s="20"/>
      <c r="B35" s="21"/>
      <c r="C35" s="19"/>
      <c r="D35" s="22"/>
      <c r="E35" s="19"/>
      <c r="F35" s="19"/>
      <c r="G35" s="19"/>
    </row>
    <row r="36" spans="1:7" s="4" customFormat="1" ht="15.75" x14ac:dyDescent="0.2">
      <c r="A36" s="21"/>
      <c r="B36" s="21"/>
      <c r="C36" s="19"/>
      <c r="D36" s="22"/>
      <c r="E36" s="19"/>
      <c r="F36" s="19"/>
      <c r="G36" s="19"/>
    </row>
    <row r="37" spans="1:7" s="4" customFormat="1" ht="15.75" x14ac:dyDescent="0.2">
      <c r="A37" s="21"/>
      <c r="B37" s="21"/>
      <c r="C37" s="19"/>
      <c r="D37" s="22"/>
      <c r="E37" s="19"/>
      <c r="F37" s="19"/>
      <c r="G37" s="19"/>
    </row>
    <row r="38" spans="1:7" s="4" customFormat="1" ht="15.75" x14ac:dyDescent="0.2">
      <c r="A38" s="21"/>
      <c r="B38" s="21"/>
      <c r="C38" s="19"/>
      <c r="D38" s="22"/>
      <c r="E38" s="19"/>
      <c r="F38" s="19"/>
      <c r="G38" s="19"/>
    </row>
    <row r="39" spans="1:7" s="4" customFormat="1" ht="15.75" x14ac:dyDescent="0.2">
      <c r="A39" s="21"/>
      <c r="B39" s="21"/>
      <c r="C39" s="19"/>
      <c r="D39" s="22"/>
      <c r="E39" s="19"/>
      <c r="F39" s="19"/>
      <c r="G39" s="19"/>
    </row>
    <row r="40" spans="1:7" s="4" customFormat="1" ht="15.75" x14ac:dyDescent="0.2">
      <c r="A40" s="21"/>
      <c r="B40" s="21"/>
      <c r="C40" s="19"/>
      <c r="D40" s="22"/>
      <c r="E40" s="19"/>
      <c r="F40" s="19"/>
      <c r="G40" s="19"/>
    </row>
    <row r="41" spans="1:7" s="4" customFormat="1" ht="15.75" x14ac:dyDescent="0.2">
      <c r="A41" s="21"/>
      <c r="B41" s="21"/>
      <c r="C41" s="19"/>
      <c r="D41" s="22"/>
      <c r="E41" s="19"/>
      <c r="F41" s="19"/>
      <c r="G41" s="19"/>
    </row>
    <row r="42" spans="1:7" s="4" customFormat="1" ht="15.75" x14ac:dyDescent="0.2">
      <c r="A42" s="21"/>
      <c r="B42" s="21"/>
      <c r="C42" s="19"/>
      <c r="D42" s="22"/>
      <c r="E42" s="19"/>
      <c r="F42" s="19"/>
      <c r="G42" s="19"/>
    </row>
    <row r="43" spans="1:7" s="4" customFormat="1" ht="15.75" x14ac:dyDescent="0.2">
      <c r="A43" s="21"/>
      <c r="B43" s="21"/>
      <c r="C43" s="19"/>
      <c r="D43" s="22"/>
      <c r="E43" s="19"/>
      <c r="F43" s="19"/>
      <c r="G43" s="19"/>
    </row>
    <row r="44" spans="1:7" s="4" customFormat="1" ht="15.75" x14ac:dyDescent="0.2">
      <c r="A44" s="21"/>
      <c r="B44" s="21"/>
      <c r="C44" s="19"/>
      <c r="D44" s="22"/>
      <c r="E44" s="19"/>
      <c r="F44" s="19"/>
      <c r="G44" s="19"/>
    </row>
    <row r="45" spans="1:7" s="4" customFormat="1" ht="15.75" x14ac:dyDescent="0.2">
      <c r="A45" s="21"/>
      <c r="B45" s="21"/>
      <c r="C45" s="19"/>
      <c r="D45" s="22"/>
      <c r="E45" s="19"/>
      <c r="F45" s="19"/>
      <c r="G45" s="19"/>
    </row>
    <row r="46" spans="1:7" s="4" customFormat="1" ht="15.75" x14ac:dyDescent="0.2">
      <c r="A46" s="21"/>
      <c r="B46" s="21"/>
      <c r="C46" s="19"/>
      <c r="D46" s="22"/>
      <c r="E46" s="19"/>
      <c r="F46" s="19"/>
      <c r="G46" s="19"/>
    </row>
    <row r="47" spans="1:7" s="4" customFormat="1" ht="15.75" x14ac:dyDescent="0.2">
      <c r="A47" s="21"/>
      <c r="B47" s="21"/>
      <c r="C47" s="19"/>
      <c r="D47" s="22"/>
      <c r="E47" s="19"/>
      <c r="F47" s="19"/>
      <c r="G47" s="19"/>
    </row>
    <row r="48" spans="1:7" ht="15.75" x14ac:dyDescent="0.2">
      <c r="A48" s="60"/>
      <c r="B48" s="60" t="s">
        <v>4</v>
      </c>
      <c r="C48" s="61">
        <f>C13</f>
        <v>2530</v>
      </c>
      <c r="D48" s="62"/>
      <c r="E48" s="60" t="s">
        <v>5</v>
      </c>
      <c r="F48" s="61">
        <f>D11</f>
        <v>43.94</v>
      </c>
      <c r="G48" s="14"/>
    </row>
    <row r="49" spans="1:7" ht="15.75" x14ac:dyDescent="0.2">
      <c r="A49" s="60"/>
      <c r="B49" s="60"/>
      <c r="C49" s="61"/>
      <c r="D49" s="62"/>
      <c r="E49" s="60"/>
      <c r="F49" s="61"/>
      <c r="G49" s="14"/>
    </row>
    <row r="50" spans="1:7" x14ac:dyDescent="0.2">
      <c r="A50" s="66" t="s">
        <v>32</v>
      </c>
      <c r="B50" s="63"/>
      <c r="C50" s="64"/>
      <c r="D50" s="65"/>
      <c r="E50" s="64"/>
      <c r="F50" s="64"/>
      <c r="G50" s="14"/>
    </row>
    <row r="51" spans="1:7" s="4" customFormat="1" ht="15" x14ac:dyDescent="0.2">
      <c r="A51" s="7"/>
      <c r="B51" s="7"/>
      <c r="D51" s="24"/>
    </row>
    <row r="52" spans="1:7" s="4" customFormat="1" ht="15" x14ac:dyDescent="0.2">
      <c r="D52" s="24"/>
    </row>
    <row r="53" spans="1:7" s="4" customFormat="1" ht="15" x14ac:dyDescent="0.2">
      <c r="A53" s="10"/>
      <c r="B53" s="11"/>
      <c r="C53" s="11"/>
      <c r="D53" s="9"/>
      <c r="E53" s="9"/>
      <c r="F53" s="10"/>
      <c r="G53" s="9"/>
    </row>
    <row r="54" spans="1:7" s="4" customFormat="1" ht="15" x14ac:dyDescent="0.2">
      <c r="B54" s="99"/>
      <c r="D54" s="101"/>
      <c r="F54" s="100"/>
    </row>
    <row r="55" spans="1:7" s="4" customFormat="1" ht="15" x14ac:dyDescent="0.2">
      <c r="A55" s="12"/>
      <c r="D55" s="101"/>
      <c r="F55" s="100"/>
    </row>
    <row r="56" spans="1:7" s="4" customFormat="1" ht="15" x14ac:dyDescent="0.2">
      <c r="D56" s="101"/>
      <c r="F56" s="100"/>
    </row>
    <row r="57" spans="1:7" s="4" customFormat="1" ht="15" x14ac:dyDescent="0.2">
      <c r="D57" s="24"/>
    </row>
    <row r="58" spans="1:7" s="4" customFormat="1" ht="15" x14ac:dyDescent="0.2">
      <c r="D58" s="24"/>
    </row>
    <row r="59" spans="1:7" s="4" customFormat="1" ht="15" x14ac:dyDescent="0.2">
      <c r="D59" s="24"/>
    </row>
    <row r="60" spans="1:7" s="4" customFormat="1" ht="15" x14ac:dyDescent="0.2">
      <c r="D60" s="24"/>
    </row>
    <row r="61" spans="1:7" s="4" customFormat="1" ht="15" x14ac:dyDescent="0.2">
      <c r="D61" s="24"/>
    </row>
    <row r="62" spans="1:7" s="4" customFormat="1" ht="15" x14ac:dyDescent="0.2">
      <c r="D62" s="24"/>
    </row>
    <row r="63" spans="1:7" s="4" customFormat="1" ht="15" x14ac:dyDescent="0.2">
      <c r="D63" s="24"/>
    </row>
    <row r="64" spans="1:7" s="4" customFormat="1" ht="15" x14ac:dyDescent="0.2">
      <c r="D64" s="24"/>
    </row>
    <row r="65" spans="1:5" s="4" customFormat="1" ht="15" x14ac:dyDescent="0.2">
      <c r="D65" s="24"/>
    </row>
    <row r="66" spans="1:5" x14ac:dyDescent="0.2">
      <c r="A66" s="1"/>
      <c r="B66" s="1"/>
      <c r="C66" s="1"/>
      <c r="D66" s="8"/>
      <c r="E66" s="1"/>
    </row>
    <row r="67" spans="1:5" x14ac:dyDescent="0.2">
      <c r="A67" s="5"/>
    </row>
    <row r="69" spans="1:5" s="4" customFormat="1" ht="15" x14ac:dyDescent="0.2">
      <c r="D69" s="24"/>
    </row>
    <row r="70" spans="1:5" s="4" customFormat="1" ht="15" x14ac:dyDescent="0.2">
      <c r="D70" s="24"/>
    </row>
    <row r="71" spans="1:5" s="4" customFormat="1" ht="15" x14ac:dyDescent="0.2">
      <c r="D71" s="24"/>
    </row>
    <row r="72" spans="1:5" s="4" customFormat="1" ht="15" x14ac:dyDescent="0.2">
      <c r="D72" s="24"/>
    </row>
    <row r="73" spans="1:5" s="4" customFormat="1" ht="15" x14ac:dyDescent="0.2">
      <c r="D73" s="24"/>
    </row>
    <row r="74" spans="1:5" s="4" customFormat="1" ht="15" x14ac:dyDescent="0.2">
      <c r="D74" s="24"/>
    </row>
    <row r="75" spans="1:5" s="4" customFormat="1" ht="15" x14ac:dyDescent="0.2">
      <c r="D75" s="24"/>
    </row>
    <row r="76" spans="1:5" s="4" customFormat="1" ht="15" x14ac:dyDescent="0.2">
      <c r="D76" s="24"/>
    </row>
    <row r="77" spans="1:5" s="4" customFormat="1" ht="15" x14ac:dyDescent="0.2">
      <c r="D77" s="24"/>
    </row>
    <row r="78" spans="1:5" s="4" customFormat="1" ht="15" x14ac:dyDescent="0.2">
      <c r="D78" s="24"/>
    </row>
    <row r="79" spans="1:5" s="4" customFormat="1" ht="15" x14ac:dyDescent="0.2">
      <c r="D79" s="24"/>
    </row>
    <row r="80" spans="1:5" s="4" customFormat="1" ht="15" x14ac:dyDescent="0.2">
      <c r="D80" s="24"/>
    </row>
    <row r="81" spans="1:5" s="4" customFormat="1" ht="15" x14ac:dyDescent="0.2">
      <c r="D81" s="24"/>
    </row>
    <row r="82" spans="1:5" s="4" customFormat="1" ht="15" x14ac:dyDescent="0.2">
      <c r="D82" s="24"/>
    </row>
    <row r="83" spans="1:5" s="4" customFormat="1" ht="15" x14ac:dyDescent="0.2">
      <c r="D83" s="24"/>
    </row>
    <row r="84" spans="1:5" x14ac:dyDescent="0.2">
      <c r="A84" s="1"/>
      <c r="B84" s="1"/>
      <c r="C84" s="1"/>
      <c r="D84" s="8"/>
      <c r="E84" s="1"/>
    </row>
    <row r="104" spans="3:5" x14ac:dyDescent="0.2">
      <c r="C104" s="6"/>
      <c r="E104" s="6"/>
    </row>
  </sheetData>
  <mergeCells count="4">
    <mergeCell ref="A11:B11"/>
    <mergeCell ref="A12:B12"/>
    <mergeCell ref="A13:B13"/>
    <mergeCell ref="A1:G1"/>
  </mergeCells>
  <phoneticPr fontId="11" type="noConversion"/>
  <pageMargins left="0.75" right="0.75" top="0.75" bottom="0.5" header="0.5" footer="0.5"/>
  <pageSetup orientation="portrait" horizontalDpi="4294967293"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tabSelected="1" zoomScaleNormal="100" workbookViewId="0">
      <selection activeCell="D12" sqref="D12"/>
    </sheetView>
  </sheetViews>
  <sheetFormatPr defaultRowHeight="15" x14ac:dyDescent="0.2"/>
  <cols>
    <col min="1" max="1" width="22.5546875" customWidth="1"/>
    <col min="3" max="3" width="8.44140625" customWidth="1"/>
    <col min="4" max="4" width="24.5546875" customWidth="1"/>
    <col min="5" max="5" width="1.21875" customWidth="1"/>
    <col min="6" max="10" width="14" customWidth="1"/>
    <col min="11" max="11" width="1.33203125" customWidth="1"/>
  </cols>
  <sheetData>
    <row r="1" spans="1:10" x14ac:dyDescent="0.2">
      <c r="A1" s="149" t="s">
        <v>95</v>
      </c>
      <c r="B1" s="149"/>
      <c r="C1" s="149"/>
      <c r="D1" s="149"/>
      <c r="F1" s="149" t="s">
        <v>94</v>
      </c>
      <c r="G1" s="149"/>
      <c r="H1" s="149"/>
      <c r="I1" s="149"/>
      <c r="J1" s="149"/>
    </row>
    <row r="2" spans="1:10" x14ac:dyDescent="0.2">
      <c r="A2" s="67" t="s">
        <v>30</v>
      </c>
      <c r="B2" s="67" t="s">
        <v>3</v>
      </c>
      <c r="C2" s="67" t="s">
        <v>37</v>
      </c>
      <c r="D2" s="67" t="s">
        <v>39</v>
      </c>
    </row>
    <row r="3" spans="1:10" x14ac:dyDescent="0.2">
      <c r="A3" s="72" t="s">
        <v>48</v>
      </c>
      <c r="B3" s="48"/>
      <c r="C3" s="48"/>
      <c r="D3" s="48"/>
      <c r="F3" s="151" t="s">
        <v>91</v>
      </c>
      <c r="G3" s="151"/>
      <c r="H3" s="151"/>
      <c r="I3" s="151"/>
      <c r="J3" s="151"/>
    </row>
    <row r="4" spans="1:10" x14ac:dyDescent="0.2">
      <c r="A4" s="73" t="s">
        <v>0</v>
      </c>
      <c r="B4" s="72">
        <f>'Weight and Balance'!C13</f>
        <v>2530</v>
      </c>
      <c r="C4" s="73" t="s">
        <v>38</v>
      </c>
      <c r="D4" s="73" t="s">
        <v>40</v>
      </c>
      <c r="F4" s="124" t="s">
        <v>82</v>
      </c>
      <c r="G4" s="124">
        <f>IF(B4&lt;2400,2200,
  IF(B4&lt;2550,2400,
  IF(B4&gt;=2550,2550,"ERROR")))</f>
        <v>2400</v>
      </c>
      <c r="H4" s="150" t="s">
        <v>35</v>
      </c>
      <c r="I4" s="150"/>
      <c r="J4" s="150"/>
    </row>
    <row r="5" spans="1:10" x14ac:dyDescent="0.2">
      <c r="A5" s="68" t="s">
        <v>63</v>
      </c>
      <c r="B5" s="89" t="s">
        <v>64</v>
      </c>
      <c r="C5" s="73"/>
      <c r="D5" s="73"/>
      <c r="F5" s="125"/>
      <c r="G5" s="125"/>
      <c r="H5" s="125" t="s">
        <v>84</v>
      </c>
      <c r="I5" s="125" t="s">
        <v>88</v>
      </c>
      <c r="J5" s="125" t="s">
        <v>85</v>
      </c>
    </row>
    <row r="6" spans="1:10" x14ac:dyDescent="0.2">
      <c r="C6" s="73"/>
      <c r="D6" s="73"/>
      <c r="F6" s="126" t="s">
        <v>89</v>
      </c>
      <c r="G6" s="125"/>
      <c r="H6" s="125">
        <f>ROUNDDOWN(I6,-1)</f>
        <v>20</v>
      </c>
      <c r="I6" s="125">
        <f>B17</f>
        <v>27</v>
      </c>
      <c r="J6" s="125">
        <f>ROUNDUP(I6,-1)</f>
        <v>30</v>
      </c>
    </row>
    <row r="7" spans="1:10" x14ac:dyDescent="0.2">
      <c r="A7" s="72" t="s">
        <v>47</v>
      </c>
      <c r="B7" s="73"/>
      <c r="C7" s="73"/>
      <c r="D7" s="48"/>
      <c r="F7" s="125" t="s">
        <v>86</v>
      </c>
      <c r="G7" s="125">
        <f>ROUNDDOWN(G8,-3)</f>
        <v>0</v>
      </c>
      <c r="H7" s="125">
        <f>IF($G$4=2200,INDEX(TO2200_DATA,MATCH($G7,TO2200_ALT,0),MATCH(H$6,TO2200_T,0)),
  IF($G$4=2400,INDEX(TO2400_DATA,MATCH($G7,TO2200_ALT,0),MATCH(H$6,TO2200_T,0)),
  IF($G$4=2550,INDEX(TO2550_DATA,MATCH($G7,TO2200_ALT,0),MATCH(H$6,TO2200_T,0)),"ERROR")))</f>
        <v>860</v>
      </c>
      <c r="I7" s="125"/>
      <c r="J7" s="125">
        <f>IF($G$4=2200,INDEX(TO2200_DATA,MATCH($G7,TO2200_ALT,0),MATCH(J$6,TO2200_T,0)),
  IF($G$4=2400,INDEX(TO2400_DATA,MATCH($G7,TO2200_ALT,0),MATCH(J$6,TO2200_T,0)),
  IF($G$4=2550,INDEX(TO2550_DATA,MATCH($G7,TO2200_ALT,0),MATCH(J$6,TO2200_T,0)),"ERROR")))</f>
        <v>925</v>
      </c>
    </row>
    <row r="8" spans="1:10" x14ac:dyDescent="0.2">
      <c r="A8" s="68" t="s">
        <v>46</v>
      </c>
      <c r="B8" s="27">
        <v>5000</v>
      </c>
      <c r="C8" s="69" t="s">
        <v>33</v>
      </c>
      <c r="D8" s="48"/>
      <c r="F8" s="125" t="s">
        <v>88</v>
      </c>
      <c r="G8" s="125">
        <f>B19</f>
        <v>647</v>
      </c>
      <c r="H8" s="127">
        <f>IF(G7=G9,H7,((H9-H7)/($G9-$G7))*($G8-$G7)+H7)</f>
        <v>911.76</v>
      </c>
      <c r="I8" s="127">
        <f>IF(H6=J6,H8,((J8-H8)/(J6-H6))*(I6-H6)+H8)</f>
        <v>959.52449999999999</v>
      </c>
      <c r="J8" s="127">
        <f>IF(G7=G9,J7,((J9-J7)/($G9-$G7))*($G8-$G7)+J7)</f>
        <v>979.995</v>
      </c>
    </row>
    <row r="9" spans="1:10" x14ac:dyDescent="0.2">
      <c r="A9" s="68" t="s">
        <v>67</v>
      </c>
      <c r="B9" s="27">
        <v>0</v>
      </c>
      <c r="C9" s="90" t="s">
        <v>72</v>
      </c>
      <c r="D9" s="73" t="s">
        <v>100</v>
      </c>
      <c r="F9" s="125" t="s">
        <v>87</v>
      </c>
      <c r="G9" s="125">
        <f>ROUNDUP(G8,-3)</f>
        <v>1000</v>
      </c>
      <c r="H9" s="125">
        <f>IF($G$4=2200,INDEX(TO2200_DATA,MATCH($G9,TO2200_ALT,0),MATCH(H$6,TO2200_T,0)),
  IF($G$4=2400,INDEX(TO2400_DATA,MATCH($G9,TO2200_ALT,0),MATCH(H$6,TO2200_T,0)),
  IF($G$4=2550,INDEX(TO2550_DATA,MATCH($G9,TO2200_ALT,0),MATCH(H$6,TO2200_T,0)),"ERROR")))</f>
        <v>940</v>
      </c>
      <c r="I9" s="125"/>
      <c r="J9" s="125">
        <f>IF($G$4=2200,INDEX(TO2200_DATA,MATCH($G9,TO2200_ALT,0),MATCH(J$6,TO2200_T,0)),
  IF($G$4=2400,INDEX(TO2400_DATA,MATCH($G9,TO2200_ALT,0),MATCH(J$6,TO2200_T,0)),
  IF($G$4=2550,INDEX(TO2550_DATA,MATCH($G9,TO2200_ALT,0),MATCH(J$6,TO2200_T,0)),"ERROR")))</f>
        <v>1010</v>
      </c>
    </row>
    <row r="10" spans="1:10" x14ac:dyDescent="0.2">
      <c r="A10" s="68" t="s">
        <v>62</v>
      </c>
      <c r="B10" s="27" t="s">
        <v>68</v>
      </c>
      <c r="C10" s="69"/>
      <c r="D10" s="73" t="str">
        <f>IF(B10="GRASS","  GRASS must be dry","  ")</f>
        <v xml:space="preserve">  </v>
      </c>
      <c r="F10" s="125"/>
      <c r="G10" s="125"/>
      <c r="H10" s="125"/>
      <c r="I10" s="125"/>
      <c r="J10" s="125"/>
    </row>
    <row r="11" spans="1:10" x14ac:dyDescent="0.2">
      <c r="A11" s="68" t="s">
        <v>45</v>
      </c>
      <c r="B11" s="27">
        <v>647</v>
      </c>
      <c r="C11" s="69" t="s">
        <v>34</v>
      </c>
      <c r="D11" s="73"/>
      <c r="F11" s="124" t="s">
        <v>83</v>
      </c>
      <c r="G11" s="124">
        <f>IF(B4&gt;2550,"Error",
IF(B4&gt;2400,2550,
IF(B4&gt;2200,2400,2200)))</f>
        <v>2550</v>
      </c>
      <c r="H11" s="150" t="s">
        <v>35</v>
      </c>
      <c r="I11" s="150"/>
      <c r="J11" s="150"/>
    </row>
    <row r="12" spans="1:10" x14ac:dyDescent="0.2">
      <c r="A12" s="68" t="s">
        <v>69</v>
      </c>
      <c r="B12" s="27">
        <v>35</v>
      </c>
      <c r="C12" s="90" t="s">
        <v>72</v>
      </c>
      <c r="D12" s="48"/>
      <c r="F12" s="125"/>
      <c r="G12" s="125"/>
      <c r="H12" s="125" t="s">
        <v>84</v>
      </c>
      <c r="I12" s="125" t="s">
        <v>88</v>
      </c>
      <c r="J12" s="125" t="s">
        <v>85</v>
      </c>
    </row>
    <row r="13" spans="1:10" x14ac:dyDescent="0.2">
      <c r="A13" s="68" t="s">
        <v>70</v>
      </c>
      <c r="B13" s="27">
        <v>10</v>
      </c>
      <c r="C13" s="69" t="s">
        <v>71</v>
      </c>
      <c r="D13" s="48"/>
      <c r="F13" s="126" t="s">
        <v>89</v>
      </c>
      <c r="G13" s="125"/>
      <c r="H13" s="125">
        <f>ROUNDDOWN(I13,-1)</f>
        <v>20</v>
      </c>
      <c r="I13" s="125">
        <f>B17</f>
        <v>27</v>
      </c>
      <c r="J13" s="125">
        <f>ROUNDUP(I13,-1)</f>
        <v>30</v>
      </c>
    </row>
    <row r="14" spans="1:10" x14ac:dyDescent="0.2">
      <c r="A14" s="68" t="s">
        <v>75</v>
      </c>
      <c r="B14" s="70">
        <v>35</v>
      </c>
      <c r="C14" s="90" t="s">
        <v>72</v>
      </c>
      <c r="D14" s="48"/>
      <c r="F14" s="125" t="s">
        <v>86</v>
      </c>
      <c r="G14" s="125">
        <f>ROUNDDOWN(G15,-3)</f>
        <v>0</v>
      </c>
      <c r="H14" s="125">
        <f>IF($G$11=2200,INDEX(TO2200_DATA,MATCH($G14,TO2200_ALT,0),MATCH(H$13,TO2200_T,0)),
  IF($G$11=2400,INDEX(TO2400_DATA,MATCH($G14,TO2200_ALT,0),MATCH(H$13,TO2200_T,0)),
  IF($G$11=2550,INDEX(TO2550_DATA,MATCH($G14,TO2200_ALT,0),MATCH(H$13,TO2200_T,0)),"ERROR")))</f>
        <v>995</v>
      </c>
      <c r="I14" s="125"/>
      <c r="J14" s="125">
        <f>IF($G$11=2200,INDEX(TO2200_DATA,MATCH($G14,TO2200_ALT,0),MATCH(J$13,TO2200_T,0)),
  IF($G$11=2400,INDEX(TO2400_DATA,MATCH($G14,TO2200_ALT,0),MATCH(J$13,TO2200_T,0)),
  IF($G$11=2550,INDEX(TO2550_DATA,MATCH($G14,TO2200_ALT,0),MATCH(J$13,TO2200_T,0)),"ERROR")))</f>
        <v>1070</v>
      </c>
    </row>
    <row r="15" spans="1:10" x14ac:dyDescent="0.2">
      <c r="A15" s="68" t="s">
        <v>74</v>
      </c>
      <c r="B15" s="92">
        <f>B13*COS(B14*10/360*2*PI())</f>
        <v>9.8480775301220795</v>
      </c>
      <c r="C15" s="69" t="s">
        <v>71</v>
      </c>
      <c r="D15" s="73" t="str">
        <f>IF(B15&lt;-10,"  too large a tailwind","  negative indicates a tailwind")</f>
        <v xml:space="preserve">  negative indicates a tailwind</v>
      </c>
      <c r="F15" s="125" t="s">
        <v>88</v>
      </c>
      <c r="G15" s="125">
        <f>B19</f>
        <v>647</v>
      </c>
      <c r="H15" s="127">
        <f>IF(G14=G16,H14,((H16-H14)/($G16-$G14))*($G15-$G14)+H14)</f>
        <v>1056.4649999999999</v>
      </c>
      <c r="I15" s="127">
        <f>IF(H13=J13,H15,((J15-H15)/(J13-H13))*(I13-H13)+H15)</f>
        <v>1111.2294999999999</v>
      </c>
      <c r="J15" s="127">
        <f>IF(G14=G16,J14,((J16-J14)/($G16-$G14))*($G15-$G14)+J14)</f>
        <v>1134.7</v>
      </c>
    </row>
    <row r="16" spans="1:10" x14ac:dyDescent="0.2">
      <c r="A16" s="68" t="s">
        <v>73</v>
      </c>
      <c r="B16" s="92">
        <f>B13*SIN(B14*10/360*2*PI())</f>
        <v>-1.7364817766693039</v>
      </c>
      <c r="C16" s="69" t="s">
        <v>71</v>
      </c>
      <c r="D16" s="73" t="str">
        <f>IF(B16&gt;0,"  too large a tailwind","  negative indicates a tailwind")</f>
        <v xml:space="preserve">  negative indicates a tailwind</v>
      </c>
      <c r="F16" s="125" t="s">
        <v>87</v>
      </c>
      <c r="G16" s="125">
        <f>ROUNDUP(G15,-3)</f>
        <v>1000</v>
      </c>
      <c r="H16" s="125">
        <f>IF($G$11=2200,INDEX(TO2200_DATA,MATCH($G16,TO2200_ALT,0),MATCH(H$13,TO2200_T,0)),
  IF($G$11=2400,INDEX(TO2400_DATA,MATCH($G16,TO2200_ALT,0),MATCH(H$13,TO2200_T,0)),
  IF($G$11=2550,INDEX(TO2550_DATA,MATCH($G16,TO2200_ALT,0),MATCH(H$13,TO2200_T,0)),"ERROR")))</f>
        <v>1090</v>
      </c>
      <c r="I16" s="125"/>
      <c r="J16" s="125">
        <f>IF($G$11=2200,INDEX(TO2200_DATA,MATCH($G16,TO2200_ALT,0),MATCH(J$13,TO2200_T,0)),
  IF($G$11=2400,INDEX(TO2400_DATA,MATCH($G16,TO2200_ALT,0),MATCH(J$13,TO2200_T,0)),
  IF($G$11=2550,INDEX(TO2550_DATA,MATCH($G16,TO2200_ALT,0),MATCH(J$13,TO2200_T,0)),"ERROR")))</f>
        <v>1170</v>
      </c>
    </row>
    <row r="17" spans="1:10" x14ac:dyDescent="0.2">
      <c r="A17" s="68" t="s">
        <v>35</v>
      </c>
      <c r="B17" s="96">
        <v>27</v>
      </c>
      <c r="C17" s="71" t="s">
        <v>36</v>
      </c>
      <c r="D17" s="48"/>
      <c r="F17" s="125"/>
      <c r="G17" s="125"/>
      <c r="H17" s="125"/>
      <c r="I17" s="125"/>
      <c r="J17" s="125"/>
    </row>
    <row r="18" spans="1:10" x14ac:dyDescent="0.2">
      <c r="A18" s="68" t="s">
        <v>42</v>
      </c>
      <c r="B18" s="75">
        <v>29.92</v>
      </c>
      <c r="C18" s="73" t="s">
        <v>43</v>
      </c>
      <c r="D18" s="48"/>
      <c r="F18" s="124" t="s">
        <v>82</v>
      </c>
      <c r="G18" s="125">
        <f>G4</f>
        <v>2400</v>
      </c>
      <c r="H18" s="125">
        <f>I8</f>
        <v>959.52449999999999</v>
      </c>
      <c r="I18" s="125"/>
      <c r="J18" s="125"/>
    </row>
    <row r="19" spans="1:10" x14ac:dyDescent="0.2">
      <c r="A19" s="73" t="s">
        <v>44</v>
      </c>
      <c r="B19" s="72">
        <f>MAX((B18-29.92)*1000+B11,0)</f>
        <v>647</v>
      </c>
      <c r="C19" s="69" t="s">
        <v>33</v>
      </c>
      <c r="D19" s="48"/>
      <c r="F19" s="124" t="s">
        <v>90</v>
      </c>
      <c r="G19" s="125">
        <f>B4</f>
        <v>2530</v>
      </c>
      <c r="H19" s="127">
        <f>((H20-H18)/($G20-$G18))*($G19-$G18)+H18</f>
        <v>1091.0021666666667</v>
      </c>
      <c r="I19" s="125"/>
      <c r="J19" s="125"/>
    </row>
    <row r="20" spans="1:10" x14ac:dyDescent="0.2">
      <c r="F20" s="124" t="s">
        <v>83</v>
      </c>
      <c r="G20" s="125">
        <f>G11</f>
        <v>2550</v>
      </c>
      <c r="H20" s="125">
        <f>I15</f>
        <v>1111.2294999999999</v>
      </c>
      <c r="I20" s="125"/>
      <c r="J20" s="125"/>
    </row>
    <row r="21" spans="1:10" x14ac:dyDescent="0.2">
      <c r="A21" s="72" t="s">
        <v>96</v>
      </c>
    </row>
    <row r="22" spans="1:10" x14ac:dyDescent="0.2">
      <c r="A22" s="68" t="s">
        <v>65</v>
      </c>
      <c r="B22" s="97">
        <f>H19</f>
        <v>1091.0021666666667</v>
      </c>
      <c r="C22" s="71" t="s">
        <v>33</v>
      </c>
      <c r="D22" s="85" t="s">
        <v>93</v>
      </c>
    </row>
    <row r="23" spans="1:10" x14ac:dyDescent="0.2">
      <c r="A23" s="68" t="s">
        <v>54</v>
      </c>
      <c r="B23" s="97">
        <f>H39</f>
        <v>1852.9194</v>
      </c>
      <c r="C23" s="71" t="s">
        <v>33</v>
      </c>
      <c r="D23" s="85" t="s">
        <v>93</v>
      </c>
      <c r="F23" s="151" t="s">
        <v>91</v>
      </c>
      <c r="G23" s="151"/>
      <c r="H23" s="151"/>
      <c r="I23" s="151"/>
      <c r="J23" s="151"/>
    </row>
    <row r="24" spans="1:10" x14ac:dyDescent="0.2">
      <c r="A24" s="68" t="s">
        <v>76</v>
      </c>
      <c r="B24" s="70">
        <f>IF(B5="0°",1.1,1)</f>
        <v>1.1000000000000001</v>
      </c>
      <c r="C24" s="71"/>
      <c r="D24" s="85"/>
      <c r="F24" s="124" t="s">
        <v>82</v>
      </c>
      <c r="G24" s="124">
        <f>IF(B4&lt;2400,2200,
  IF(B4&lt;2550,2400,
  IF(B4&gt;=2550,2550,"ERROR")))</f>
        <v>2400</v>
      </c>
      <c r="H24" s="150" t="s">
        <v>35</v>
      </c>
      <c r="I24" s="150"/>
      <c r="J24" s="150"/>
    </row>
    <row r="25" spans="1:10" x14ac:dyDescent="0.2">
      <c r="A25" s="68" t="s">
        <v>77</v>
      </c>
      <c r="B25" s="91">
        <f>1-IF(B15&gt;0,ROUNDDOWN(B15/9,0)*0.1,ROUNDUP(B15/2,0)*0.1)</f>
        <v>0.9</v>
      </c>
      <c r="C25" s="71"/>
      <c r="D25" s="85"/>
      <c r="F25" s="125"/>
      <c r="G25" s="125"/>
      <c r="H25" s="125" t="s">
        <v>84</v>
      </c>
      <c r="I25" s="125" t="s">
        <v>88</v>
      </c>
      <c r="J25" s="125" t="s">
        <v>85</v>
      </c>
    </row>
    <row r="26" spans="1:10" x14ac:dyDescent="0.2">
      <c r="A26" s="68" t="s">
        <v>78</v>
      </c>
      <c r="B26" s="92">
        <f>IF(B10="GRASS",1.15,1)</f>
        <v>1</v>
      </c>
      <c r="C26" s="71"/>
      <c r="D26" s="85"/>
      <c r="F26" s="126" t="s">
        <v>89</v>
      </c>
      <c r="G26" s="125"/>
      <c r="H26" s="125">
        <f>ROUNDDOWN(I26,-1)</f>
        <v>20</v>
      </c>
      <c r="I26" s="125">
        <f>B17</f>
        <v>27</v>
      </c>
      <c r="J26" s="125">
        <f>ROUNDUP(I26,-1)</f>
        <v>30</v>
      </c>
    </row>
    <row r="27" spans="1:10" x14ac:dyDescent="0.2">
      <c r="A27" s="80" t="s">
        <v>66</v>
      </c>
      <c r="B27" s="93">
        <f>B22*B24*B25*B26</f>
        <v>1080.0921450000001</v>
      </c>
      <c r="C27" s="82" t="s">
        <v>33</v>
      </c>
      <c r="F27" s="125" t="s">
        <v>86</v>
      </c>
      <c r="G27" s="125">
        <f>ROUNDDOWN(G28,-3)</f>
        <v>0</v>
      </c>
      <c r="H27" s="125">
        <f>IF($G$24=2200,INDEX(CLR2200_DATA,MATCH($G27,TO2200_ALT,0),MATCH(H$26,TO2200_T,0)),
  IF($G$24=2400,INDEX(CLR2400_DATA,MATCH($G27,TO2200_ALT,0),MATCH(H$26,TO2200_T,0)),
  IF($G$24=2550,INDEX(CLR2550_DATA,MATCH($G27,TO2200_ALT,0),MATCH(H$26,TO2200_T,0)),"ERROR")))</f>
        <v>1470</v>
      </c>
      <c r="I27" s="125"/>
      <c r="J27" s="125">
        <f>IF($G$24=2200,INDEX(CLR2200_DATA,MATCH($G27,TO2200_ALT,0),MATCH(J$26,TO2200_T,0)),
  IF($G$24=2400,INDEX(CLR2400_DATA,MATCH($G27,TO2200_ALT,0),MATCH(J$26,TO2200_T,0)),
  IF($G$24=2550,INDEX(CLR2550_DATA,MATCH($G27,TO2200_ALT,0),MATCH(J$26,TO2200_T,0)),"ERROR")))</f>
        <v>1570</v>
      </c>
    </row>
    <row r="28" spans="1:10" x14ac:dyDescent="0.2">
      <c r="A28" s="94" t="s">
        <v>92</v>
      </c>
      <c r="B28" s="93">
        <f>B23*B24*B25</f>
        <v>1834.390206</v>
      </c>
      <c r="C28" s="82" t="s">
        <v>33</v>
      </c>
      <c r="F28" s="125" t="s">
        <v>88</v>
      </c>
      <c r="G28" s="125">
        <f>B19</f>
        <v>647</v>
      </c>
      <c r="H28" s="127">
        <f>IF(G27=G29,H27,((H29-H27)/($G29-$G27))*($G28-$G27)+H27)</f>
        <v>1557.345</v>
      </c>
      <c r="I28" s="127">
        <f>IF(H26=J26,H28,((J28-H28)/(J26-H26))*(I26-H26)+H28)</f>
        <v>1634.1385</v>
      </c>
      <c r="J28" s="127">
        <f>IF(G27=G29,J27,((J29-J27)/($G29-$G27))*($G28-$G27)+J27)</f>
        <v>1667.05</v>
      </c>
    </row>
    <row r="29" spans="1:10" x14ac:dyDescent="0.2">
      <c r="F29" s="125" t="s">
        <v>87</v>
      </c>
      <c r="G29" s="125">
        <f>ROUNDUP(G28,-3)</f>
        <v>1000</v>
      </c>
      <c r="H29" s="125">
        <f>IF($G$24=2200,INDEX(CLR2200_DATA,MATCH($G29,TO2200_ALT,0),MATCH(H$26,TO2200_T,0)),
  IF($G$24=2400,INDEX(CLR2400_DATA,MATCH($G29,TO2200_ALT,0),MATCH(H$26,TO2200_T,0)),
  IF($G$24=2550,INDEX(CLR2550_DATA,MATCH($G29,TO2200_ALT,0),MATCH(H$26,TO2200_T,0)),"ERROR")))</f>
        <v>1605</v>
      </c>
      <c r="I29" s="125"/>
      <c r="J29" s="125">
        <f>IF($G$24=2200,INDEX(CLR2200_DATA,MATCH($G29,TO2200_ALT,0),MATCH(J$26,TO2200_T,0)),
  IF($G$24=2400,INDEX(CLR2400_DATA,MATCH($G29,TO2200_ALT,0),MATCH(J$26,TO2200_T,0)),
  IF($G$24=2550,INDEX(CLR2550_DATA,MATCH($G29,TO2200_ALT,0),MATCH(J$26,TO2200_T,0)),"ERROR")))</f>
        <v>1720</v>
      </c>
    </row>
    <row r="30" spans="1:10" x14ac:dyDescent="0.2">
      <c r="A30" s="66" t="s">
        <v>101</v>
      </c>
      <c r="F30" s="125"/>
      <c r="G30" s="125"/>
      <c r="H30" s="125"/>
      <c r="I30" s="125"/>
      <c r="J30" s="125"/>
    </row>
    <row r="31" spans="1:10" x14ac:dyDescent="0.2">
      <c r="F31" s="124" t="s">
        <v>83</v>
      </c>
      <c r="G31" s="124">
        <f>IF(B4&gt;2550,"Error",
IF(B4&gt;2400,2550,
IF(B4&gt;2200,2400,2200)))</f>
        <v>2550</v>
      </c>
      <c r="H31" s="150" t="s">
        <v>35</v>
      </c>
      <c r="I31" s="150"/>
      <c r="J31" s="150"/>
    </row>
    <row r="32" spans="1:10" x14ac:dyDescent="0.2">
      <c r="F32" s="125"/>
      <c r="G32" s="125"/>
      <c r="H32" s="125" t="s">
        <v>84</v>
      </c>
      <c r="I32" s="125" t="s">
        <v>88</v>
      </c>
      <c r="J32" s="125" t="s">
        <v>85</v>
      </c>
    </row>
    <row r="33" spans="1:10" x14ac:dyDescent="0.2">
      <c r="F33" s="126" t="s">
        <v>89</v>
      </c>
      <c r="G33" s="125"/>
      <c r="H33" s="125">
        <f>ROUNDDOWN(I33,-1)</f>
        <v>20</v>
      </c>
      <c r="I33" s="125">
        <f>B17</f>
        <v>27</v>
      </c>
      <c r="J33" s="125">
        <f>ROUNDUP(I33,-1)</f>
        <v>30</v>
      </c>
    </row>
    <row r="34" spans="1:10" x14ac:dyDescent="0.2">
      <c r="F34" s="125" t="s">
        <v>86</v>
      </c>
      <c r="G34" s="125">
        <f>ROUNDDOWN(G35,-3)</f>
        <v>0</v>
      </c>
      <c r="H34" s="125">
        <f>IF($G$31=2200,INDEX(CLR2200_DATA,MATCH($G34,TO2200_ALT,0),MATCH(H$33,TO2200_T,0)),
  IF($G$31=2400,INDEX(CLR2400_DATA,MATCH($G34,TO2200_ALT,0),MATCH(H$33,TO2200_T,0)),
  IF($G$31=2550,INDEX(CLR2550_DATA,MATCH($G34,TO2200_ALT,0),MATCH(H$33,TO2200_T,0)),"ERROR")))</f>
        <v>1690</v>
      </c>
      <c r="I34" s="125"/>
      <c r="J34" s="125">
        <f>IF($G$31=2200,INDEX(CLR2200_DATA,MATCH($G34,TO2200_ALT,0),MATCH(J$33,TO2200_T,0)),
  IF($G$31=2400,INDEX(CLR2400_DATA,MATCH($G34,TO2200_ALT,0),MATCH(J$33,TO2200_T,0)),
  IF($G$31=2550,INDEX(CLR2550_DATA,MATCH($G34,TO2200_ALT,0),MATCH(J$33,TO2200_T,0)),"ERROR")))</f>
        <v>1810</v>
      </c>
    </row>
    <row r="35" spans="1:10" x14ac:dyDescent="0.2">
      <c r="F35" s="125" t="s">
        <v>88</v>
      </c>
      <c r="G35" s="125">
        <f>B19</f>
        <v>647</v>
      </c>
      <c r="H35" s="127">
        <f>IF(G34=G36,H34,((H36-H34)/($G36-$G34))*($G35-$G34)+H34)</f>
        <v>1793.52</v>
      </c>
      <c r="I35" s="127">
        <f>IF(H33=J33,H35,((J35-H35)/(J33-H33))*(I33-H33)+H35)</f>
        <v>1886.578</v>
      </c>
      <c r="J35" s="127">
        <f>IF(G34=G36,J34,((J36-J34)/($G36-$G34))*($G35-$G34)+J34)</f>
        <v>1926.46</v>
      </c>
    </row>
    <row r="36" spans="1:10" x14ac:dyDescent="0.2">
      <c r="F36" s="125" t="s">
        <v>87</v>
      </c>
      <c r="G36" s="125">
        <f>ROUNDUP(G35,-3)</f>
        <v>1000</v>
      </c>
      <c r="H36" s="125">
        <f>IF($G$31=2200,INDEX(CLR2200_DATA,MATCH($G36,TO2200_ALT,0),MATCH(H$33,TO2200_T,0)),
  IF($G$31=2400,INDEX(CLR2400_DATA,MATCH($G36,TO2200_ALT,0),MATCH(H$33,TO2200_T,0)),
  IF($G$31=2550,INDEX(CLR2550_DATA,MATCH($G36,TO2200_ALT,0),MATCH(H$33,TO2200_T,0)),"ERROR")))</f>
        <v>1850</v>
      </c>
      <c r="I36" s="125"/>
      <c r="J36" s="125">
        <f>IF($G$31=2200,INDEX(CLR2200_DATA,MATCH($G36,TO2200_ALT,0),MATCH(J$33,TO2200_T,0)),
  IF($G$31=2400,INDEX(CLR2400_DATA,MATCH($G36,TO2200_ALT,0),MATCH(J$33,TO2200_T,0)),
  IF($G$31=2550,INDEX(CLR2550_DATA,MATCH($G36,TO2200_ALT,0),MATCH(J$33,TO2200_T,0)),"ERROR")))</f>
        <v>1990</v>
      </c>
    </row>
    <row r="37" spans="1:10" x14ac:dyDescent="0.2">
      <c r="F37" s="125"/>
      <c r="G37" s="125"/>
      <c r="H37" s="125"/>
      <c r="I37" s="125"/>
      <c r="J37" s="125"/>
    </row>
    <row r="38" spans="1:10" x14ac:dyDescent="0.2">
      <c r="F38" s="124" t="s">
        <v>82</v>
      </c>
      <c r="G38" s="125">
        <f>G24</f>
        <v>2400</v>
      </c>
      <c r="H38" s="125">
        <f>I28</f>
        <v>1634.1385</v>
      </c>
      <c r="I38" s="125"/>
      <c r="J38" s="125"/>
    </row>
    <row r="39" spans="1:10" x14ac:dyDescent="0.2">
      <c r="F39" s="124" t="s">
        <v>90</v>
      </c>
      <c r="G39" s="125">
        <f>G19</f>
        <v>2530</v>
      </c>
      <c r="H39" s="127">
        <f>((H40-H38)/($G40-$G38))*($G39-$G38)+H38</f>
        <v>1852.9194</v>
      </c>
      <c r="I39" s="125"/>
      <c r="J39" s="125"/>
    </row>
    <row r="40" spans="1:10" x14ac:dyDescent="0.2">
      <c r="F40" s="124" t="s">
        <v>83</v>
      </c>
      <c r="G40" s="125">
        <f>G31</f>
        <v>2550</v>
      </c>
      <c r="H40" s="125">
        <f>I35</f>
        <v>1886.578</v>
      </c>
      <c r="I40" s="125"/>
      <c r="J40" s="125"/>
    </row>
    <row r="42" spans="1:10" x14ac:dyDescent="0.2">
      <c r="F42" s="66" t="s">
        <v>101</v>
      </c>
    </row>
    <row r="46" spans="1:10" x14ac:dyDescent="0.2">
      <c r="A46" s="68"/>
      <c r="B46" s="79"/>
    </row>
  </sheetData>
  <mergeCells count="8">
    <mergeCell ref="A1:D1"/>
    <mergeCell ref="H31:J31"/>
    <mergeCell ref="F1:J1"/>
    <mergeCell ref="H4:J4"/>
    <mergeCell ref="H11:J11"/>
    <mergeCell ref="F3:J3"/>
    <mergeCell ref="F23:J23"/>
    <mergeCell ref="H24:J24"/>
  </mergeCells>
  <conditionalFormatting sqref="B5">
    <cfRule type="cellIs" dxfId="16" priority="6" operator="lessThan">
      <formula>$B$4</formula>
    </cfRule>
  </conditionalFormatting>
  <conditionalFormatting sqref="B15">
    <cfRule type="cellIs" dxfId="15" priority="5" operator="lessThan">
      <formula>-10</formula>
    </cfRule>
  </conditionalFormatting>
  <conditionalFormatting sqref="D15">
    <cfRule type="cellIs" dxfId="14" priority="4" operator="equal">
      <formula>"too large a tailwind"</formula>
    </cfRule>
  </conditionalFormatting>
  <conditionalFormatting sqref="D11">
    <cfRule type="cellIs" dxfId="13" priority="3" operator="equal">
      <formula>"too large a tailwind"</formula>
    </cfRule>
  </conditionalFormatting>
  <conditionalFormatting sqref="D10">
    <cfRule type="cellIs" dxfId="12" priority="2" operator="equal">
      <formula>"too large a tailwind"</formula>
    </cfRule>
  </conditionalFormatting>
  <conditionalFormatting sqref="D16">
    <cfRule type="cellIs" dxfId="1" priority="1" operator="equal">
      <formula>"too large a tailwind"</formula>
    </cfRule>
  </conditionalFormatting>
  <dataValidations count="2">
    <dataValidation type="list" allowBlank="1" showInputMessage="1" showErrorMessage="1" sqref="B10:B11">
      <formula1>"PVMNT, GRASS"</formula1>
    </dataValidation>
    <dataValidation type="list" allowBlank="1" showInputMessage="1" showErrorMessage="1" sqref="B5">
      <formula1>"0°, 10°"</formula1>
    </dataValidation>
  </dataValidations>
  <pageMargins left="0.7" right="0.7" top="0.75" bottom="0.75" header="0.3" footer="0.3"/>
  <pageSetup fitToWidth="0" orientation="portrait" r:id="rId1"/>
  <colBreaks count="1" manualBreakCount="1">
    <brk id="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D19" sqref="D19"/>
    </sheetView>
  </sheetViews>
  <sheetFormatPr defaultRowHeight="15" x14ac:dyDescent="0.2"/>
  <cols>
    <col min="1" max="1" width="22.5546875" customWidth="1"/>
    <col min="3" max="3" width="8.44140625" customWidth="1"/>
    <col min="4" max="4" width="26.109375" customWidth="1"/>
    <col min="5" max="5" width="1.21875" customWidth="1"/>
    <col min="6" max="10" width="14" customWidth="1"/>
    <col min="11" max="11" width="1.33203125" customWidth="1"/>
  </cols>
  <sheetData>
    <row r="1" spans="1:10" x14ac:dyDescent="0.2">
      <c r="A1" s="149" t="s">
        <v>95</v>
      </c>
      <c r="B1" s="149"/>
      <c r="C1" s="149"/>
      <c r="D1" s="149"/>
      <c r="F1" s="149" t="s">
        <v>94</v>
      </c>
      <c r="G1" s="149"/>
      <c r="H1" s="149"/>
      <c r="I1" s="149"/>
      <c r="J1" s="149"/>
    </row>
    <row r="2" spans="1:10" x14ac:dyDescent="0.2">
      <c r="A2" s="67" t="s">
        <v>30</v>
      </c>
      <c r="B2" s="67" t="s">
        <v>3</v>
      </c>
      <c r="C2" s="67" t="s">
        <v>37</v>
      </c>
      <c r="D2" s="67" t="s">
        <v>39</v>
      </c>
    </row>
    <row r="3" spans="1:10" x14ac:dyDescent="0.2">
      <c r="A3" s="72" t="s">
        <v>48</v>
      </c>
      <c r="B3" s="48"/>
      <c r="C3" s="48"/>
      <c r="D3" s="48"/>
      <c r="F3" s="151" t="s">
        <v>91</v>
      </c>
      <c r="G3" s="151"/>
      <c r="H3" s="151"/>
      <c r="I3" s="151"/>
      <c r="J3" s="151"/>
    </row>
    <row r="4" spans="1:10" x14ac:dyDescent="0.2">
      <c r="A4" s="73" t="s">
        <v>0</v>
      </c>
      <c r="B4" s="72">
        <f>'Weight and Balance'!C13</f>
        <v>2530</v>
      </c>
      <c r="C4" s="73" t="s">
        <v>38</v>
      </c>
      <c r="D4" s="73" t="s">
        <v>40</v>
      </c>
      <c r="F4" s="124" t="s">
        <v>82</v>
      </c>
      <c r="G4" s="124">
        <v>2550</v>
      </c>
      <c r="H4" s="150" t="s">
        <v>35</v>
      </c>
      <c r="I4" s="150"/>
      <c r="J4" s="150"/>
    </row>
    <row r="5" spans="1:10" x14ac:dyDescent="0.2">
      <c r="A5" s="68" t="s">
        <v>63</v>
      </c>
      <c r="B5" s="89" t="s">
        <v>103</v>
      </c>
      <c r="C5" s="73"/>
      <c r="D5" s="73"/>
      <c r="F5" s="125"/>
      <c r="G5" s="125"/>
      <c r="H5" s="125" t="s">
        <v>84</v>
      </c>
      <c r="I5" s="125" t="s">
        <v>88</v>
      </c>
      <c r="J5" s="125" t="s">
        <v>85</v>
      </c>
    </row>
    <row r="6" spans="1:10" x14ac:dyDescent="0.2">
      <c r="C6" s="73"/>
      <c r="D6" s="73"/>
      <c r="F6" s="126" t="s">
        <v>89</v>
      </c>
      <c r="G6" s="125"/>
      <c r="H6" s="125">
        <f>ROUNDDOWN(I6,-1)</f>
        <v>20</v>
      </c>
      <c r="I6" s="125">
        <f>B17</f>
        <v>27</v>
      </c>
      <c r="J6" s="125">
        <f>ROUNDUP(I6,-1)</f>
        <v>30</v>
      </c>
    </row>
    <row r="7" spans="1:10" x14ac:dyDescent="0.2">
      <c r="A7" s="72" t="s">
        <v>47</v>
      </c>
      <c r="B7" s="73"/>
      <c r="C7" s="73"/>
      <c r="D7" s="48"/>
      <c r="F7" s="125" t="s">
        <v>86</v>
      </c>
      <c r="G7" s="125">
        <f>ROUNDDOWN(G8,-3)</f>
        <v>0</v>
      </c>
      <c r="H7" s="125">
        <f>INDEX(LGR,MATCH($G7,TO2200_ALT,0),MATCH(H$6,TO2200_T,0))</f>
        <v>585</v>
      </c>
      <c r="I7" s="129"/>
      <c r="J7" s="125">
        <f>INDEX(LGR,MATCH($G7,TO2200_ALT,0),MATCH(J$6,TO2200_T,0))</f>
        <v>605</v>
      </c>
    </row>
    <row r="8" spans="1:10" x14ac:dyDescent="0.2">
      <c r="A8" s="68" t="s">
        <v>46</v>
      </c>
      <c r="B8" s="27">
        <v>5000</v>
      </c>
      <c r="C8" s="69" t="s">
        <v>33</v>
      </c>
      <c r="D8" s="48"/>
      <c r="F8" s="125" t="s">
        <v>88</v>
      </c>
      <c r="G8" s="125">
        <f>B19</f>
        <v>0</v>
      </c>
      <c r="H8" s="127">
        <f>IF(G7=G9,H7,((H9-H7)/($G9-$G7))*($G8-$G7)+H7)</f>
        <v>585</v>
      </c>
      <c r="I8" s="128">
        <f>IF(H6=J6,H8,((J8-H8)/(J6-H6))*(I6-H6)+H8)</f>
        <v>599</v>
      </c>
      <c r="J8" s="127">
        <f>IF(G7=G9,J7,((J9-J7)/($G9-$G7))*($G8-$G7)+J7)</f>
        <v>605</v>
      </c>
    </row>
    <row r="9" spans="1:10" x14ac:dyDescent="0.2">
      <c r="A9" s="68" t="s">
        <v>67</v>
      </c>
      <c r="B9" s="27">
        <v>16</v>
      </c>
      <c r="C9" s="90" t="s">
        <v>72</v>
      </c>
      <c r="D9" s="73" t="s">
        <v>100</v>
      </c>
      <c r="F9" s="125" t="s">
        <v>87</v>
      </c>
      <c r="G9" s="125">
        <f>ROUNDUP(G8,-3)</f>
        <v>0</v>
      </c>
      <c r="H9" s="125">
        <f>INDEX(LGR,MATCH($G9,TO2200_ALT,0),MATCH(H$6,TO2200_T,0))</f>
        <v>585</v>
      </c>
      <c r="I9" s="129"/>
      <c r="J9" s="125">
        <f>INDEX(LGR,MATCH($G9,TO2200_ALT,0),MATCH(J$6,TO2200_T,0))</f>
        <v>605</v>
      </c>
    </row>
    <row r="10" spans="1:10" x14ac:dyDescent="0.2">
      <c r="A10" s="68" t="s">
        <v>62</v>
      </c>
      <c r="B10" s="27" t="s">
        <v>68</v>
      </c>
      <c r="C10" s="69"/>
      <c r="D10" s="73" t="str">
        <f>IF(B10="GRASS","  GRASS must be dry","  ")</f>
        <v xml:space="preserve">  </v>
      </c>
      <c r="F10" s="87"/>
      <c r="G10" s="87"/>
      <c r="H10" s="87"/>
      <c r="I10" s="87"/>
      <c r="J10" s="87"/>
    </row>
    <row r="11" spans="1:10" x14ac:dyDescent="0.2">
      <c r="A11" s="68" t="s">
        <v>45</v>
      </c>
      <c r="B11" s="27">
        <v>647</v>
      </c>
      <c r="C11" s="69" t="s">
        <v>34</v>
      </c>
      <c r="D11" s="48"/>
    </row>
    <row r="12" spans="1:10" x14ac:dyDescent="0.2">
      <c r="A12" s="68" t="s">
        <v>69</v>
      </c>
      <c r="B12" s="27">
        <v>240</v>
      </c>
      <c r="C12" s="90" t="s">
        <v>72</v>
      </c>
      <c r="D12" s="48"/>
    </row>
    <row r="13" spans="1:10" x14ac:dyDescent="0.2">
      <c r="A13" s="68" t="s">
        <v>70</v>
      </c>
      <c r="B13" s="27">
        <v>12</v>
      </c>
      <c r="C13" s="69" t="s">
        <v>71</v>
      </c>
      <c r="D13" s="48"/>
      <c r="F13" s="152" t="s">
        <v>102</v>
      </c>
      <c r="G13" s="151"/>
      <c r="H13" s="151"/>
      <c r="I13" s="151"/>
      <c r="J13" s="151"/>
    </row>
    <row r="14" spans="1:10" x14ac:dyDescent="0.2">
      <c r="A14" s="68" t="s">
        <v>75</v>
      </c>
      <c r="B14" s="70">
        <f>B12-IF(B9=36,0,B9)</f>
        <v>224</v>
      </c>
      <c r="C14" s="90" t="s">
        <v>72</v>
      </c>
      <c r="D14" s="48"/>
      <c r="F14" s="124" t="s">
        <v>82</v>
      </c>
      <c r="G14" s="124">
        <v>2550</v>
      </c>
      <c r="H14" s="150" t="s">
        <v>35</v>
      </c>
      <c r="I14" s="150"/>
      <c r="J14" s="150"/>
    </row>
    <row r="15" spans="1:10" x14ac:dyDescent="0.2">
      <c r="A15" s="68" t="s">
        <v>74</v>
      </c>
      <c r="B15" s="92">
        <f>B13*COS(B14*10/360*2*PI())</f>
        <v>2.0837781320032009</v>
      </c>
      <c r="C15" s="69" t="s">
        <v>71</v>
      </c>
      <c r="D15" s="73" t="str">
        <f>IF(B15&lt;-10,"  too large a tailwind","  negative indicates a tailwind")</f>
        <v xml:space="preserve">  negative indicates a tailwind</v>
      </c>
      <c r="F15" s="125"/>
      <c r="G15" s="125"/>
      <c r="H15" s="125" t="s">
        <v>84</v>
      </c>
      <c r="I15" s="125" t="s">
        <v>88</v>
      </c>
      <c r="J15" s="125" t="s">
        <v>85</v>
      </c>
    </row>
    <row r="16" spans="1:10" x14ac:dyDescent="0.2">
      <c r="A16" s="68" t="s">
        <v>73</v>
      </c>
      <c r="B16" s="92">
        <f>B13*SIN(B14*10/360*2*PI())</f>
        <v>11.81769303614649</v>
      </c>
      <c r="C16" s="69" t="s">
        <v>71</v>
      </c>
      <c r="D16" s="48"/>
      <c r="F16" s="126" t="s">
        <v>89</v>
      </c>
      <c r="G16" s="125"/>
      <c r="H16" s="125">
        <f>ROUNDDOWN(I16,-1)</f>
        <v>20</v>
      </c>
      <c r="I16" s="125">
        <f>B17</f>
        <v>27</v>
      </c>
      <c r="J16" s="125">
        <f>ROUNDUP(I16,-1)</f>
        <v>30</v>
      </c>
    </row>
    <row r="17" spans="1:10" x14ac:dyDescent="0.2">
      <c r="A17" s="68" t="s">
        <v>35</v>
      </c>
      <c r="B17" s="96">
        <v>27</v>
      </c>
      <c r="C17" s="71" t="s">
        <v>36</v>
      </c>
      <c r="D17" s="48"/>
      <c r="F17" s="125" t="s">
        <v>86</v>
      </c>
      <c r="G17" s="125">
        <f>ROUNDDOWN(G18,-3)</f>
        <v>0</v>
      </c>
      <c r="H17" s="125">
        <f>INDEX(L50CLR,MATCH($G17,TO2200_ALT,0),MATCH(H$16,TO2200_T,0))</f>
        <v>1350</v>
      </c>
      <c r="I17" s="129"/>
      <c r="J17" s="125">
        <f>INDEX(L50CLR,MATCH($G17,TO2200_ALT,0),MATCH(J$16,TO2200_T,0))</f>
        <v>1380</v>
      </c>
    </row>
    <row r="18" spans="1:10" x14ac:dyDescent="0.2">
      <c r="A18" s="68" t="s">
        <v>42</v>
      </c>
      <c r="B18" s="75">
        <v>28.82</v>
      </c>
      <c r="C18" s="73" t="s">
        <v>43</v>
      </c>
      <c r="D18" s="48"/>
      <c r="F18" s="125" t="s">
        <v>88</v>
      </c>
      <c r="G18" s="125">
        <f>B19</f>
        <v>0</v>
      </c>
      <c r="H18" s="127">
        <f>IF(G17=G19,H17,((H19-H17)/($G19-$G17))*($G18-$G17)+H17)</f>
        <v>1350</v>
      </c>
      <c r="I18" s="128">
        <f>IF(H16=J16,H18,((J18-H18)/(J16-H16))*(I16-H16)+H18)</f>
        <v>1371</v>
      </c>
      <c r="J18" s="127">
        <f>IF(G17=G19,J17,((J19-J17)/($G19-$G17))*($G18-$G17)+J17)</f>
        <v>1380</v>
      </c>
    </row>
    <row r="19" spans="1:10" x14ac:dyDescent="0.2">
      <c r="A19" s="73" t="s">
        <v>44</v>
      </c>
      <c r="B19" s="72">
        <f>MAX((B18-29.92)*1000+B11,0)</f>
        <v>0</v>
      </c>
      <c r="C19" s="69" t="s">
        <v>33</v>
      </c>
      <c r="D19" s="48"/>
      <c r="F19" s="125" t="s">
        <v>87</v>
      </c>
      <c r="G19" s="125">
        <f>ROUNDUP(G18,-3)</f>
        <v>0</v>
      </c>
      <c r="H19" s="125">
        <f>INDEX(L50CLR,MATCH($G19,TO2200_ALT,0),MATCH(H$16,TO2200_T,0))</f>
        <v>1350</v>
      </c>
      <c r="I19" s="129"/>
      <c r="J19" s="125">
        <f>INDEX(L50CLR,MATCH($G19,TO2200_ALT,0),MATCH(J$16,TO2200_T,0))</f>
        <v>1380</v>
      </c>
    </row>
    <row r="20" spans="1:10" x14ac:dyDescent="0.2">
      <c r="F20" s="87"/>
      <c r="G20" s="87"/>
      <c r="H20" s="87"/>
      <c r="I20" s="87"/>
      <c r="J20" s="87"/>
    </row>
    <row r="21" spans="1:10" x14ac:dyDescent="0.2">
      <c r="A21" s="72" t="s">
        <v>97</v>
      </c>
      <c r="F21" s="87"/>
      <c r="G21" s="87"/>
      <c r="H21" s="87"/>
      <c r="I21" s="87"/>
      <c r="J21" s="87"/>
    </row>
    <row r="22" spans="1:10" x14ac:dyDescent="0.2">
      <c r="A22" s="68" t="s">
        <v>65</v>
      </c>
      <c r="B22" s="97">
        <f>I8</f>
        <v>599</v>
      </c>
      <c r="C22" s="71" t="s">
        <v>33</v>
      </c>
      <c r="D22" s="85" t="s">
        <v>93</v>
      </c>
      <c r="F22" s="102"/>
      <c r="G22" s="87"/>
      <c r="H22" s="87"/>
      <c r="I22" s="87"/>
      <c r="J22" s="87"/>
    </row>
    <row r="23" spans="1:10" x14ac:dyDescent="0.2">
      <c r="A23" s="68" t="s">
        <v>54</v>
      </c>
      <c r="B23" s="97">
        <f>I18</f>
        <v>1371</v>
      </c>
      <c r="C23" s="71" t="s">
        <v>33</v>
      </c>
      <c r="D23" s="85" t="s">
        <v>93</v>
      </c>
      <c r="F23" s="102"/>
      <c r="G23" s="87"/>
      <c r="H23" s="95"/>
      <c r="I23" s="87"/>
      <c r="J23" s="87"/>
    </row>
    <row r="24" spans="1:10" x14ac:dyDescent="0.2">
      <c r="A24" s="68" t="s">
        <v>76</v>
      </c>
      <c r="B24" s="91">
        <f>IF(B5="0°",1.35,IF(B5="30°",1,"Error"))</f>
        <v>1</v>
      </c>
      <c r="C24" s="71"/>
      <c r="D24" s="85"/>
      <c r="F24" s="102"/>
      <c r="G24" s="87"/>
      <c r="H24" s="87"/>
      <c r="I24" s="87"/>
      <c r="J24" s="87"/>
    </row>
    <row r="25" spans="1:10" x14ac:dyDescent="0.2">
      <c r="A25" s="68" t="s">
        <v>77</v>
      </c>
      <c r="B25" s="91">
        <f>1-IF(B15&gt;0,ROUNDDOWN(B15/9,0)*0.1,ROUNDUP(B15/2,0)*0.1)</f>
        <v>1</v>
      </c>
      <c r="C25" s="71"/>
      <c r="D25" s="85"/>
    </row>
    <row r="26" spans="1:10" x14ac:dyDescent="0.2">
      <c r="A26" s="68" t="s">
        <v>78</v>
      </c>
      <c r="B26" s="91">
        <f>IF(B10="GRASS",1.45,1)</f>
        <v>1</v>
      </c>
      <c r="C26" s="71"/>
      <c r="D26" s="85"/>
    </row>
    <row r="27" spans="1:10" x14ac:dyDescent="0.2">
      <c r="A27" s="80" t="s">
        <v>66</v>
      </c>
      <c r="B27" s="93">
        <f>B22*B24*B25*B26</f>
        <v>599</v>
      </c>
      <c r="C27" s="82" t="s">
        <v>33</v>
      </c>
    </row>
    <row r="28" spans="1:10" x14ac:dyDescent="0.2">
      <c r="A28" s="94" t="s">
        <v>92</v>
      </c>
      <c r="B28" s="93">
        <f>B23*B24*B25</f>
        <v>1371</v>
      </c>
      <c r="C28" s="82" t="s">
        <v>33</v>
      </c>
    </row>
    <row r="30" spans="1:10" x14ac:dyDescent="0.2">
      <c r="A30" s="68" t="s">
        <v>56</v>
      </c>
      <c r="B30" s="79" t="str">
        <f>IF(B8&gt;B22,"YES","NO")</f>
        <v>YES</v>
      </c>
    </row>
    <row r="32" spans="1:10" x14ac:dyDescent="0.2">
      <c r="A32" s="66" t="s">
        <v>101</v>
      </c>
    </row>
  </sheetData>
  <mergeCells count="6">
    <mergeCell ref="H14:J14"/>
    <mergeCell ref="A1:D1"/>
    <mergeCell ref="F1:J1"/>
    <mergeCell ref="F3:J3"/>
    <mergeCell ref="H4:J4"/>
    <mergeCell ref="F13:J13"/>
  </mergeCells>
  <conditionalFormatting sqref="B5">
    <cfRule type="cellIs" dxfId="11" priority="4" operator="lessThan">
      <formula>$B$4</formula>
    </cfRule>
  </conditionalFormatting>
  <conditionalFormatting sqref="B15">
    <cfRule type="cellIs" dxfId="10" priority="3" operator="lessThan">
      <formula>-10</formula>
    </cfRule>
  </conditionalFormatting>
  <conditionalFormatting sqref="D15">
    <cfRule type="cellIs" dxfId="9" priority="2" operator="equal">
      <formula>"too large a tailwind"</formula>
    </cfRule>
  </conditionalFormatting>
  <conditionalFormatting sqref="D10">
    <cfRule type="cellIs" dxfId="8" priority="1" operator="equal">
      <formula>"too large a tailwind"</formula>
    </cfRule>
  </conditionalFormatting>
  <dataValidations count="2">
    <dataValidation type="list" allowBlank="1" showInputMessage="1" showErrorMessage="1" sqref="B5">
      <formula1>"0°, 30°"</formula1>
    </dataValidation>
    <dataValidation type="list" allowBlank="1" showInputMessage="1" showErrorMessage="1" sqref="B10:B11">
      <formula1>"PVMNT, GRASS"</formula1>
    </dataValidation>
  </dataValidations>
  <pageMargins left="0.7" right="0.7" top="0.75" bottom="0.75" header="0.3" footer="0.3"/>
  <pageSetup scale="99" fitToWidth="2" fitToHeight="2" orientation="portrait" r:id="rId1"/>
  <colBreaks count="1" manualBreakCount="1">
    <brk id="5" max="4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zoomScaleNormal="100" workbookViewId="0">
      <selection activeCell="A23" sqref="A23"/>
    </sheetView>
  </sheetViews>
  <sheetFormatPr defaultRowHeight="15" x14ac:dyDescent="0.2"/>
  <cols>
    <col min="7" max="7" width="2.77734375" customWidth="1"/>
    <col min="14" max="14" width="2.77734375" customWidth="1"/>
    <col min="21" max="21" width="2.77734375" customWidth="1"/>
  </cols>
  <sheetData>
    <row r="1" spans="1:27" x14ac:dyDescent="0.2">
      <c r="A1" s="153" t="s">
        <v>59</v>
      </c>
      <c r="B1" s="153"/>
      <c r="C1" s="153"/>
      <c r="D1" s="153"/>
      <c r="E1" s="153"/>
      <c r="F1" s="153"/>
      <c r="H1" s="153" t="s">
        <v>61</v>
      </c>
      <c r="I1" s="153"/>
      <c r="J1" s="153"/>
      <c r="K1" s="153"/>
      <c r="L1" s="153"/>
      <c r="M1" s="153"/>
      <c r="O1" s="153" t="s">
        <v>98</v>
      </c>
      <c r="P1" s="153"/>
      <c r="Q1" s="153"/>
      <c r="R1" s="153"/>
      <c r="S1" s="153"/>
      <c r="T1" s="153"/>
      <c r="V1" s="153" t="s">
        <v>99</v>
      </c>
      <c r="W1" s="153"/>
      <c r="X1" s="153"/>
      <c r="Y1" s="153"/>
      <c r="Z1" s="153"/>
      <c r="AA1" s="153"/>
    </row>
    <row r="2" spans="1:27" x14ac:dyDescent="0.2">
      <c r="A2" s="24"/>
      <c r="B2" s="88">
        <v>0</v>
      </c>
      <c r="C2" s="88">
        <v>10</v>
      </c>
      <c r="D2" s="88">
        <v>20</v>
      </c>
      <c r="E2" s="88">
        <v>30</v>
      </c>
      <c r="F2" s="88">
        <v>40</v>
      </c>
      <c r="H2" s="24"/>
      <c r="I2" s="88">
        <v>0</v>
      </c>
      <c r="J2" s="88">
        <v>10</v>
      </c>
      <c r="K2" s="88">
        <v>20</v>
      </c>
      <c r="L2" s="88">
        <v>30</v>
      </c>
      <c r="M2" s="88">
        <v>40</v>
      </c>
      <c r="O2" s="24"/>
      <c r="P2" s="98">
        <v>0</v>
      </c>
      <c r="Q2" s="98">
        <v>10</v>
      </c>
      <c r="R2" s="98">
        <v>20</v>
      </c>
      <c r="S2" s="98">
        <v>30</v>
      </c>
      <c r="T2" s="98">
        <v>40</v>
      </c>
      <c r="V2" s="24"/>
      <c r="W2" s="98">
        <v>0</v>
      </c>
      <c r="X2" s="98">
        <v>10</v>
      </c>
      <c r="Y2" s="98">
        <v>20</v>
      </c>
      <c r="Z2" s="98">
        <v>30</v>
      </c>
      <c r="AA2" s="98">
        <v>40</v>
      </c>
    </row>
    <row r="3" spans="1:27" x14ac:dyDescent="0.2">
      <c r="A3" s="88">
        <v>0</v>
      </c>
      <c r="B3" s="88">
        <v>860</v>
      </c>
      <c r="C3" s="88">
        <v>925</v>
      </c>
      <c r="D3" s="88">
        <v>995</v>
      </c>
      <c r="E3" s="88">
        <v>1070</v>
      </c>
      <c r="F3" s="88">
        <v>1150</v>
      </c>
      <c r="H3" s="88">
        <v>0</v>
      </c>
      <c r="I3" s="88">
        <v>1465</v>
      </c>
      <c r="J3" s="88">
        <v>1575</v>
      </c>
      <c r="K3" s="88">
        <v>1690</v>
      </c>
      <c r="L3" s="88">
        <v>1810</v>
      </c>
      <c r="M3" s="88">
        <v>1945</v>
      </c>
      <c r="O3" s="98">
        <v>0</v>
      </c>
      <c r="P3" s="98">
        <v>545</v>
      </c>
      <c r="Q3" s="98">
        <v>565</v>
      </c>
      <c r="R3" s="98">
        <v>585</v>
      </c>
      <c r="S3" s="98">
        <v>605</v>
      </c>
      <c r="T3" s="98">
        <v>625</v>
      </c>
      <c r="V3" s="98">
        <v>0</v>
      </c>
      <c r="W3" s="98">
        <v>1290</v>
      </c>
      <c r="X3" s="98">
        <v>1320</v>
      </c>
      <c r="Y3" s="98">
        <v>1350</v>
      </c>
      <c r="Z3" s="98">
        <v>1380</v>
      </c>
      <c r="AA3" s="98">
        <v>1415</v>
      </c>
    </row>
    <row r="4" spans="1:27" x14ac:dyDescent="0.2">
      <c r="A4" s="88">
        <v>1000</v>
      </c>
      <c r="B4" s="88">
        <v>940</v>
      </c>
      <c r="C4" s="88">
        <v>1010</v>
      </c>
      <c r="D4" s="88">
        <v>1090</v>
      </c>
      <c r="E4" s="88">
        <v>1170</v>
      </c>
      <c r="F4" s="88">
        <v>1260</v>
      </c>
      <c r="G4" s="86"/>
      <c r="H4" s="88">
        <v>1000</v>
      </c>
      <c r="I4" s="88">
        <v>1600</v>
      </c>
      <c r="J4" s="88">
        <v>1720</v>
      </c>
      <c r="K4" s="88">
        <v>1850</v>
      </c>
      <c r="L4" s="88">
        <v>1990</v>
      </c>
      <c r="M4" s="88">
        <v>2135</v>
      </c>
      <c r="O4" s="98">
        <v>1000</v>
      </c>
      <c r="P4" s="98">
        <v>565</v>
      </c>
      <c r="Q4" s="98">
        <v>585</v>
      </c>
      <c r="R4" s="98">
        <v>605</v>
      </c>
      <c r="S4" s="98">
        <v>625</v>
      </c>
      <c r="T4" s="98">
        <v>650</v>
      </c>
      <c r="V4" s="98">
        <v>1000</v>
      </c>
      <c r="W4" s="98">
        <v>1320</v>
      </c>
      <c r="X4" s="98">
        <v>1350</v>
      </c>
      <c r="Y4" s="98">
        <v>1385</v>
      </c>
      <c r="Z4" s="98">
        <v>1420</v>
      </c>
      <c r="AA4" s="98">
        <v>1450</v>
      </c>
    </row>
    <row r="5" spans="1:27" x14ac:dyDescent="0.2">
      <c r="A5" s="88">
        <v>2000</v>
      </c>
      <c r="B5" s="88">
        <v>1025</v>
      </c>
      <c r="C5" s="88">
        <v>1110</v>
      </c>
      <c r="D5" s="88">
        <v>1195</v>
      </c>
      <c r="E5" s="88">
        <v>1285</v>
      </c>
      <c r="F5" s="88">
        <v>1380</v>
      </c>
      <c r="G5" s="86"/>
      <c r="H5" s="88">
        <v>2000</v>
      </c>
      <c r="I5" s="88">
        <v>1755</v>
      </c>
      <c r="J5" s="88">
        <v>1890</v>
      </c>
      <c r="K5" s="88">
        <v>2035</v>
      </c>
      <c r="L5" s="88">
        <v>2190</v>
      </c>
      <c r="M5" s="88">
        <v>2355</v>
      </c>
      <c r="O5" s="98">
        <v>2000</v>
      </c>
      <c r="P5" s="98">
        <v>585</v>
      </c>
      <c r="Q5" s="98">
        <v>610</v>
      </c>
      <c r="R5" s="98">
        <v>630</v>
      </c>
      <c r="S5" s="98">
        <v>650</v>
      </c>
      <c r="T5" s="98">
        <v>670</v>
      </c>
      <c r="V5" s="98">
        <v>2000</v>
      </c>
      <c r="W5" s="98">
        <v>1355</v>
      </c>
      <c r="X5" s="98">
        <v>1385</v>
      </c>
      <c r="Y5" s="98">
        <v>1420</v>
      </c>
      <c r="Z5" s="98">
        <v>1455</v>
      </c>
      <c r="AA5" s="98">
        <v>1490</v>
      </c>
    </row>
    <row r="6" spans="1:27" x14ac:dyDescent="0.2">
      <c r="A6" s="88">
        <v>3000</v>
      </c>
      <c r="B6" s="88">
        <v>1125</v>
      </c>
      <c r="C6" s="88">
        <v>1215</v>
      </c>
      <c r="D6" s="88">
        <v>1310</v>
      </c>
      <c r="E6" s="88">
        <v>1410</v>
      </c>
      <c r="F6" s="88">
        <v>1515</v>
      </c>
      <c r="G6" s="86"/>
      <c r="H6" s="88">
        <v>3000</v>
      </c>
      <c r="I6" s="88">
        <v>1925</v>
      </c>
      <c r="J6" s="88">
        <v>2080</v>
      </c>
      <c r="K6" s="88">
        <v>2240</v>
      </c>
      <c r="L6" s="88">
        <v>2420</v>
      </c>
      <c r="M6" s="88">
        <v>2605</v>
      </c>
      <c r="O6" s="98">
        <v>3000</v>
      </c>
      <c r="P6" s="98">
        <v>610</v>
      </c>
      <c r="Q6" s="98">
        <v>630</v>
      </c>
      <c r="R6" s="98">
        <v>655</v>
      </c>
      <c r="S6" s="98">
        <v>675</v>
      </c>
      <c r="T6" s="98">
        <v>695</v>
      </c>
      <c r="V6" s="98">
        <v>3000</v>
      </c>
      <c r="W6" s="98">
        <v>1385</v>
      </c>
      <c r="X6" s="98">
        <v>1425</v>
      </c>
      <c r="Y6" s="98">
        <v>1460</v>
      </c>
      <c r="Z6" s="98">
        <v>1495</v>
      </c>
      <c r="AA6" s="98">
        <v>1530</v>
      </c>
    </row>
    <row r="7" spans="1:27" x14ac:dyDescent="0.2">
      <c r="A7" s="88">
        <v>4000</v>
      </c>
      <c r="B7" s="88">
        <v>1235</v>
      </c>
      <c r="C7" s="88">
        <v>1335</v>
      </c>
      <c r="D7" s="88">
        <v>1440</v>
      </c>
      <c r="E7" s="88">
        <v>1550</v>
      </c>
      <c r="F7" s="88">
        <v>1660</v>
      </c>
      <c r="G7" s="86"/>
      <c r="H7" s="88">
        <v>4000</v>
      </c>
      <c r="I7" s="88">
        <v>2120</v>
      </c>
      <c r="J7" s="88">
        <v>2295</v>
      </c>
      <c r="K7" s="88">
        <v>2480</v>
      </c>
      <c r="L7" s="88">
        <v>2685</v>
      </c>
      <c r="M7" s="88">
        <v>2880</v>
      </c>
      <c r="O7" s="98">
        <v>4000</v>
      </c>
      <c r="P7" s="98">
        <v>630</v>
      </c>
      <c r="Q7" s="98">
        <v>655</v>
      </c>
      <c r="R7" s="98">
        <v>675</v>
      </c>
      <c r="S7" s="98">
        <v>700</v>
      </c>
      <c r="T7" s="98">
        <v>725</v>
      </c>
      <c r="V7" s="98">
        <v>4000</v>
      </c>
      <c r="W7" s="98">
        <v>1425</v>
      </c>
      <c r="X7" s="98">
        <v>1460</v>
      </c>
      <c r="Y7" s="98">
        <v>1495</v>
      </c>
      <c r="Z7" s="98">
        <v>1535</v>
      </c>
      <c r="AA7" s="98">
        <v>1570</v>
      </c>
    </row>
    <row r="8" spans="1:27" x14ac:dyDescent="0.2">
      <c r="A8" s="88">
        <v>5000</v>
      </c>
      <c r="B8" s="88">
        <v>1355</v>
      </c>
      <c r="C8" s="88">
        <v>1465</v>
      </c>
      <c r="D8" s="88">
        <v>1585</v>
      </c>
      <c r="E8" s="88">
        <v>1705</v>
      </c>
      <c r="F8" s="88">
        <v>1825</v>
      </c>
      <c r="G8" s="86"/>
      <c r="H8" s="88">
        <v>5000</v>
      </c>
      <c r="I8" s="88">
        <v>2345</v>
      </c>
      <c r="J8" s="88">
        <v>2545</v>
      </c>
      <c r="K8" s="88">
        <v>2755</v>
      </c>
      <c r="L8" s="88">
        <v>2975</v>
      </c>
      <c r="M8" s="88">
        <v>3205</v>
      </c>
      <c r="O8" s="98">
        <v>5000</v>
      </c>
      <c r="P8" s="98">
        <v>655</v>
      </c>
      <c r="Q8" s="98">
        <v>680</v>
      </c>
      <c r="R8" s="98">
        <v>705</v>
      </c>
      <c r="S8" s="98">
        <v>725</v>
      </c>
      <c r="T8" s="98">
        <v>750</v>
      </c>
      <c r="V8" s="98">
        <v>5000</v>
      </c>
      <c r="W8" s="98">
        <v>1460</v>
      </c>
      <c r="X8" s="98">
        <v>1500</v>
      </c>
      <c r="Y8" s="98">
        <v>1535</v>
      </c>
      <c r="Z8" s="98">
        <v>1575</v>
      </c>
      <c r="AA8" s="98">
        <v>1615</v>
      </c>
    </row>
    <row r="9" spans="1:27" x14ac:dyDescent="0.2">
      <c r="A9" s="88">
        <v>6000</v>
      </c>
      <c r="B9" s="88">
        <v>1495</v>
      </c>
      <c r="C9" s="88">
        <v>1615</v>
      </c>
      <c r="D9" s="88">
        <v>1745</v>
      </c>
      <c r="E9" s="88">
        <v>1875</v>
      </c>
      <c r="F9" s="88">
        <v>2010</v>
      </c>
      <c r="G9" s="86"/>
      <c r="H9" s="88">
        <v>6000</v>
      </c>
      <c r="I9" s="88">
        <v>2605</v>
      </c>
      <c r="J9" s="88">
        <v>2830</v>
      </c>
      <c r="K9" s="88">
        <v>3075</v>
      </c>
      <c r="L9" s="88">
        <v>3320</v>
      </c>
      <c r="M9" s="88">
        <v>3585</v>
      </c>
      <c r="O9" s="98">
        <v>6000</v>
      </c>
      <c r="P9" s="98">
        <v>680</v>
      </c>
      <c r="Q9" s="98">
        <v>705</v>
      </c>
      <c r="R9" s="98">
        <v>730</v>
      </c>
      <c r="S9" s="98">
        <v>755</v>
      </c>
      <c r="T9" s="98">
        <v>780</v>
      </c>
      <c r="V9" s="98">
        <v>6000</v>
      </c>
      <c r="W9" s="98">
        <v>1500</v>
      </c>
      <c r="X9" s="98">
        <v>1540</v>
      </c>
      <c r="Y9" s="98">
        <v>1580</v>
      </c>
      <c r="Z9" s="98">
        <v>1620</v>
      </c>
      <c r="AA9" s="98">
        <v>1660</v>
      </c>
    </row>
    <row r="10" spans="1:27" x14ac:dyDescent="0.2">
      <c r="A10" s="88">
        <v>7000</v>
      </c>
      <c r="B10" s="88">
        <v>1645</v>
      </c>
      <c r="C10" s="88">
        <v>1785</v>
      </c>
      <c r="D10" s="88">
        <v>1920</v>
      </c>
      <c r="E10" s="88">
        <v>2065</v>
      </c>
      <c r="F10" s="88">
        <v>2215</v>
      </c>
      <c r="G10" s="86"/>
      <c r="H10" s="88">
        <v>7000</v>
      </c>
      <c r="I10" s="88">
        <v>2910</v>
      </c>
      <c r="J10" s="88">
        <v>3170</v>
      </c>
      <c r="K10" s="88">
        <v>3440</v>
      </c>
      <c r="L10" s="88">
        <v>3730</v>
      </c>
      <c r="M10" s="88">
        <v>4045</v>
      </c>
      <c r="O10" s="98">
        <v>7000</v>
      </c>
      <c r="P10" s="98">
        <v>705</v>
      </c>
      <c r="Q10" s="98">
        <v>730</v>
      </c>
      <c r="R10" s="98">
        <v>760</v>
      </c>
      <c r="S10" s="98">
        <v>785</v>
      </c>
      <c r="T10" s="98">
        <v>810</v>
      </c>
      <c r="V10" s="98">
        <v>7000</v>
      </c>
      <c r="W10" s="98">
        <v>1545</v>
      </c>
      <c r="X10" s="98">
        <v>1585</v>
      </c>
      <c r="Y10" s="98">
        <v>1625</v>
      </c>
      <c r="Z10" s="98">
        <v>1665</v>
      </c>
      <c r="AA10" s="98">
        <v>1705</v>
      </c>
    </row>
    <row r="11" spans="1:27" x14ac:dyDescent="0.2">
      <c r="A11" s="88">
        <v>8000</v>
      </c>
      <c r="B11" s="88">
        <v>1820</v>
      </c>
      <c r="C11" s="88">
        <v>1970</v>
      </c>
      <c r="D11" s="88">
        <v>2120</v>
      </c>
      <c r="E11" s="88">
        <v>2280</v>
      </c>
      <c r="F11" s="88">
        <v>2450</v>
      </c>
      <c r="G11" s="86"/>
      <c r="H11" s="88">
        <v>8000</v>
      </c>
      <c r="I11" s="88">
        <v>3265</v>
      </c>
      <c r="J11" s="88">
        <v>3575</v>
      </c>
      <c r="K11" s="88">
        <v>3880</v>
      </c>
      <c r="L11" s="88">
        <v>4225</v>
      </c>
      <c r="M11" s="88">
        <v>4615</v>
      </c>
      <c r="O11" s="98">
        <v>8000</v>
      </c>
      <c r="P11" s="98">
        <v>735</v>
      </c>
      <c r="Q11" s="98">
        <v>760</v>
      </c>
      <c r="R11" s="98">
        <v>790</v>
      </c>
      <c r="S11" s="98">
        <v>815</v>
      </c>
      <c r="T11" s="98">
        <v>840</v>
      </c>
      <c r="V11" s="98">
        <v>8000</v>
      </c>
      <c r="W11" s="98">
        <v>1585</v>
      </c>
      <c r="X11" s="98">
        <v>1630</v>
      </c>
      <c r="Y11" s="98">
        <v>1670</v>
      </c>
      <c r="Z11" s="98">
        <v>1715</v>
      </c>
      <c r="AA11" s="98">
        <v>1755</v>
      </c>
    </row>
    <row r="12" spans="1:27" x14ac:dyDescent="0.2">
      <c r="A12" s="88"/>
      <c r="B12" s="88"/>
      <c r="C12" s="88"/>
      <c r="D12" s="88"/>
      <c r="E12" s="88"/>
      <c r="F12" s="88"/>
      <c r="G12" s="86"/>
      <c r="H12" s="86"/>
      <c r="I12" s="86"/>
      <c r="J12" s="86"/>
      <c r="K12" s="86"/>
      <c r="L12" s="86"/>
    </row>
    <row r="13" spans="1:27" x14ac:dyDescent="0.2">
      <c r="A13" s="153" t="s">
        <v>58</v>
      </c>
      <c r="B13" s="153"/>
      <c r="C13" s="153"/>
      <c r="D13" s="153"/>
      <c r="E13" s="153"/>
      <c r="F13" s="153"/>
      <c r="G13" s="86"/>
      <c r="H13" s="153" t="s">
        <v>80</v>
      </c>
      <c r="I13" s="153"/>
      <c r="J13" s="153"/>
      <c r="K13" s="153"/>
      <c r="L13" s="153"/>
      <c r="M13" s="153"/>
    </row>
    <row r="14" spans="1:27" x14ac:dyDescent="0.2">
      <c r="A14" s="24"/>
      <c r="B14" s="88">
        <v>0</v>
      </c>
      <c r="C14" s="88">
        <v>10</v>
      </c>
      <c r="D14" s="88">
        <v>20</v>
      </c>
      <c r="E14" s="88">
        <v>30</v>
      </c>
      <c r="F14" s="88">
        <v>40</v>
      </c>
      <c r="G14" s="86"/>
      <c r="H14" s="24"/>
      <c r="I14" s="88">
        <v>0</v>
      </c>
      <c r="J14" s="88">
        <v>10</v>
      </c>
      <c r="K14" s="88">
        <v>20</v>
      </c>
      <c r="L14" s="88">
        <v>30</v>
      </c>
      <c r="M14" s="88">
        <v>40</v>
      </c>
    </row>
    <row r="15" spans="1:27" x14ac:dyDescent="0.2">
      <c r="A15" s="88">
        <v>0</v>
      </c>
      <c r="B15" s="88">
        <v>745</v>
      </c>
      <c r="C15" s="88">
        <v>800</v>
      </c>
      <c r="D15" s="88">
        <v>860</v>
      </c>
      <c r="E15" s="88">
        <v>925</v>
      </c>
      <c r="F15" s="88">
        <v>995</v>
      </c>
      <c r="G15" s="86"/>
      <c r="H15" s="88">
        <v>0</v>
      </c>
      <c r="I15" s="88">
        <v>1275</v>
      </c>
      <c r="J15" s="88">
        <v>1370</v>
      </c>
      <c r="K15" s="88">
        <v>1470</v>
      </c>
      <c r="L15" s="88">
        <v>1570</v>
      </c>
      <c r="M15" s="88">
        <v>1685</v>
      </c>
    </row>
    <row r="16" spans="1:27" x14ac:dyDescent="0.2">
      <c r="A16" s="88">
        <v>1000</v>
      </c>
      <c r="B16" s="88">
        <v>810</v>
      </c>
      <c r="C16" s="88">
        <v>875</v>
      </c>
      <c r="D16" s="88">
        <v>940</v>
      </c>
      <c r="E16" s="88">
        <v>1010</v>
      </c>
      <c r="F16" s="88">
        <v>1085</v>
      </c>
      <c r="G16" s="86"/>
      <c r="H16" s="88">
        <v>1000</v>
      </c>
      <c r="I16" s="88">
        <v>1390</v>
      </c>
      <c r="J16" s="88">
        <v>1495</v>
      </c>
      <c r="K16" s="88">
        <v>1605</v>
      </c>
      <c r="L16" s="88">
        <v>1720</v>
      </c>
      <c r="M16" s="88">
        <v>1845</v>
      </c>
    </row>
    <row r="17" spans="1:13" x14ac:dyDescent="0.2">
      <c r="A17" s="88">
        <v>2000</v>
      </c>
      <c r="B17" s="88">
        <v>885</v>
      </c>
      <c r="C17" s="88">
        <v>955</v>
      </c>
      <c r="D17" s="88">
        <v>1030</v>
      </c>
      <c r="E17" s="88">
        <v>1110</v>
      </c>
      <c r="F17" s="88">
        <v>1190</v>
      </c>
      <c r="G17" s="86"/>
      <c r="H17" s="88">
        <v>2000</v>
      </c>
      <c r="I17" s="88">
        <v>1520</v>
      </c>
      <c r="J17" s="88">
        <v>1635</v>
      </c>
      <c r="K17" s="88">
        <v>1760</v>
      </c>
      <c r="L17" s="88">
        <v>1890</v>
      </c>
      <c r="M17" s="88">
        <v>2030</v>
      </c>
    </row>
    <row r="18" spans="1:13" x14ac:dyDescent="0.2">
      <c r="A18" s="88">
        <v>3000</v>
      </c>
      <c r="B18" s="88">
        <v>970</v>
      </c>
      <c r="C18" s="88">
        <v>1050</v>
      </c>
      <c r="D18" s="88">
        <v>1130</v>
      </c>
      <c r="E18" s="88">
        <v>1215</v>
      </c>
      <c r="F18" s="88">
        <v>1305</v>
      </c>
      <c r="G18" s="86"/>
      <c r="H18" s="88">
        <v>3000</v>
      </c>
      <c r="I18" s="88">
        <v>1665</v>
      </c>
      <c r="J18" s="88">
        <v>1795</v>
      </c>
      <c r="K18" s="88">
        <v>1930</v>
      </c>
      <c r="L18" s="88">
        <v>2080</v>
      </c>
      <c r="M18" s="88">
        <v>2230</v>
      </c>
    </row>
    <row r="19" spans="1:13" x14ac:dyDescent="0.2">
      <c r="A19" s="88">
        <v>4000</v>
      </c>
      <c r="B19" s="88">
        <v>1065</v>
      </c>
      <c r="C19" s="88">
        <v>1150</v>
      </c>
      <c r="D19" s="88">
        <v>1240</v>
      </c>
      <c r="E19" s="88">
        <v>1335</v>
      </c>
      <c r="F19" s="88">
        <v>1430</v>
      </c>
      <c r="G19" s="86"/>
      <c r="H19" s="88">
        <v>4000</v>
      </c>
      <c r="I19" s="88">
        <v>1830</v>
      </c>
      <c r="J19" s="88">
        <v>1975</v>
      </c>
      <c r="K19" s="88">
        <v>2130</v>
      </c>
      <c r="L19" s="88">
        <v>2295</v>
      </c>
      <c r="M19" s="88">
        <v>2455</v>
      </c>
    </row>
    <row r="20" spans="1:13" x14ac:dyDescent="0.2">
      <c r="A20" s="88">
        <v>5000</v>
      </c>
      <c r="B20" s="88">
        <v>1170</v>
      </c>
      <c r="C20" s="88">
        <v>1265</v>
      </c>
      <c r="D20" s="88">
        <v>1360</v>
      </c>
      <c r="E20" s="88">
        <v>1465</v>
      </c>
      <c r="F20" s="88">
        <v>1570</v>
      </c>
      <c r="G20" s="86"/>
      <c r="H20" s="88">
        <v>5000</v>
      </c>
      <c r="I20" s="88">
        <v>2015</v>
      </c>
      <c r="J20" s="88">
        <v>2180</v>
      </c>
      <c r="K20" s="88">
        <v>2355</v>
      </c>
      <c r="L20" s="88">
        <v>2530</v>
      </c>
      <c r="M20" s="88">
        <v>2715</v>
      </c>
    </row>
    <row r="21" spans="1:13" x14ac:dyDescent="0.2">
      <c r="A21" s="88">
        <v>6000</v>
      </c>
      <c r="B21" s="88">
        <v>1285</v>
      </c>
      <c r="C21" s="88">
        <v>1390</v>
      </c>
      <c r="D21" s="88">
        <v>1500</v>
      </c>
      <c r="E21" s="88">
        <v>1610</v>
      </c>
      <c r="F21" s="88">
        <v>1725</v>
      </c>
      <c r="G21" s="86"/>
      <c r="H21" s="88">
        <v>6000</v>
      </c>
      <c r="I21" s="88">
        <v>2230</v>
      </c>
      <c r="J21" s="88">
        <v>2410</v>
      </c>
      <c r="K21" s="88">
        <v>2610</v>
      </c>
      <c r="L21" s="88">
        <v>2805</v>
      </c>
      <c r="M21" s="88">
        <v>3015</v>
      </c>
    </row>
    <row r="22" spans="1:13" x14ac:dyDescent="0.2">
      <c r="A22" s="88">
        <v>7000</v>
      </c>
      <c r="B22" s="88">
        <v>1415</v>
      </c>
      <c r="C22" s="88">
        <v>1530</v>
      </c>
      <c r="D22" s="88">
        <v>1650</v>
      </c>
      <c r="E22" s="88">
        <v>1770</v>
      </c>
      <c r="F22" s="88">
        <v>1900</v>
      </c>
      <c r="G22" s="86"/>
      <c r="H22" s="88">
        <v>7000</v>
      </c>
      <c r="I22" s="88">
        <v>2470</v>
      </c>
      <c r="J22" s="88">
        <v>2685</v>
      </c>
      <c r="K22" s="88">
        <v>2900</v>
      </c>
      <c r="L22" s="88">
        <v>3125</v>
      </c>
      <c r="M22" s="88">
        <v>3370</v>
      </c>
    </row>
    <row r="23" spans="1:13" x14ac:dyDescent="0.2">
      <c r="A23" s="88">
        <v>8000</v>
      </c>
      <c r="B23" s="88">
        <v>1560</v>
      </c>
      <c r="C23" s="88">
        <v>1690</v>
      </c>
      <c r="D23" s="88">
        <v>1815</v>
      </c>
      <c r="E23" s="88">
        <v>1950</v>
      </c>
      <c r="F23" s="88">
        <v>2095</v>
      </c>
      <c r="G23" s="86"/>
      <c r="H23" s="88">
        <v>8000</v>
      </c>
      <c r="I23" s="88">
        <v>2755</v>
      </c>
      <c r="J23" s="88">
        <v>3000</v>
      </c>
      <c r="K23" s="88">
        <v>3240</v>
      </c>
      <c r="L23" s="88">
        <v>3500</v>
      </c>
      <c r="M23" s="88">
        <v>3790</v>
      </c>
    </row>
    <row r="24" spans="1:13" x14ac:dyDescent="0.2">
      <c r="A24" s="88"/>
      <c r="B24" s="88"/>
      <c r="C24" s="88"/>
      <c r="D24" s="88"/>
      <c r="E24" s="88"/>
      <c r="F24" s="88"/>
      <c r="G24" s="86"/>
      <c r="H24" s="86"/>
      <c r="I24" s="86"/>
      <c r="J24" s="86"/>
      <c r="K24" s="86"/>
      <c r="L24" s="86"/>
    </row>
    <row r="25" spans="1:13" x14ac:dyDescent="0.2">
      <c r="A25" s="153" t="s">
        <v>60</v>
      </c>
      <c r="B25" s="153"/>
      <c r="C25" s="153"/>
      <c r="D25" s="153"/>
      <c r="E25" s="153"/>
      <c r="F25" s="153"/>
      <c r="G25" s="86"/>
      <c r="H25" s="153" t="s">
        <v>81</v>
      </c>
      <c r="I25" s="153"/>
      <c r="J25" s="153"/>
      <c r="K25" s="153"/>
      <c r="L25" s="153"/>
      <c r="M25" s="153"/>
    </row>
    <row r="26" spans="1:13" x14ac:dyDescent="0.2">
      <c r="A26" s="24"/>
      <c r="B26" s="88">
        <v>0</v>
      </c>
      <c r="C26" s="88">
        <v>10</v>
      </c>
      <c r="D26" s="88">
        <v>20</v>
      </c>
      <c r="E26" s="88">
        <v>30</v>
      </c>
      <c r="F26" s="88">
        <v>40</v>
      </c>
      <c r="G26" s="86"/>
      <c r="H26" s="24"/>
      <c r="I26" s="88">
        <v>0</v>
      </c>
      <c r="J26" s="88">
        <v>10</v>
      </c>
      <c r="K26" s="88">
        <v>20</v>
      </c>
      <c r="L26" s="88">
        <v>30</v>
      </c>
      <c r="M26" s="88">
        <v>40</v>
      </c>
    </row>
    <row r="27" spans="1:13" x14ac:dyDescent="0.2">
      <c r="A27" s="88">
        <v>0</v>
      </c>
      <c r="B27" s="88">
        <v>610</v>
      </c>
      <c r="C27" s="88">
        <v>655</v>
      </c>
      <c r="D27" s="88">
        <v>705</v>
      </c>
      <c r="E27" s="88">
        <v>760</v>
      </c>
      <c r="F27" s="88">
        <v>815</v>
      </c>
      <c r="G27" s="86"/>
      <c r="H27" s="88">
        <v>0</v>
      </c>
      <c r="I27" s="88">
        <v>1055</v>
      </c>
      <c r="J27" s="88">
        <v>1130</v>
      </c>
      <c r="K27" s="88">
        <v>1205</v>
      </c>
      <c r="L27" s="88">
        <v>1290</v>
      </c>
      <c r="M27" s="88">
        <v>1380</v>
      </c>
    </row>
    <row r="28" spans="1:13" x14ac:dyDescent="0.2">
      <c r="A28" s="88">
        <v>1000</v>
      </c>
      <c r="B28" s="88">
        <v>665</v>
      </c>
      <c r="C28" s="88">
        <v>720</v>
      </c>
      <c r="D28" s="88">
        <v>770</v>
      </c>
      <c r="E28" s="88">
        <v>830</v>
      </c>
      <c r="F28" s="88">
        <v>890</v>
      </c>
      <c r="G28" s="86"/>
      <c r="H28" s="88">
        <v>1000</v>
      </c>
      <c r="I28" s="88">
        <v>1145</v>
      </c>
      <c r="J28" s="88">
        <v>1230</v>
      </c>
      <c r="K28" s="88">
        <v>1315</v>
      </c>
      <c r="L28" s="88">
        <v>1410</v>
      </c>
      <c r="M28" s="88">
        <v>1505</v>
      </c>
    </row>
    <row r="29" spans="1:13" x14ac:dyDescent="0.2">
      <c r="A29" s="88">
        <v>2000</v>
      </c>
      <c r="B29" s="88">
        <v>725</v>
      </c>
      <c r="C29" s="88">
        <v>785</v>
      </c>
      <c r="D29" s="88">
        <v>845</v>
      </c>
      <c r="E29" s="88">
        <v>905</v>
      </c>
      <c r="F29" s="88">
        <v>975</v>
      </c>
      <c r="G29" s="86"/>
      <c r="H29" s="88">
        <v>2000</v>
      </c>
      <c r="I29" s="88">
        <v>1250</v>
      </c>
      <c r="J29" s="88">
        <v>1340</v>
      </c>
      <c r="K29" s="88">
        <v>1435</v>
      </c>
      <c r="L29" s="88">
        <v>1540</v>
      </c>
      <c r="M29" s="88">
        <v>1650</v>
      </c>
    </row>
    <row r="30" spans="1:13" x14ac:dyDescent="0.2">
      <c r="A30" s="88">
        <v>3000</v>
      </c>
      <c r="B30" s="88">
        <v>795</v>
      </c>
      <c r="C30" s="88">
        <v>860</v>
      </c>
      <c r="D30" s="88">
        <v>925</v>
      </c>
      <c r="E30" s="88">
        <v>995</v>
      </c>
      <c r="F30" s="88">
        <v>1065</v>
      </c>
      <c r="G30" s="86"/>
      <c r="H30" s="88">
        <v>3000</v>
      </c>
      <c r="I30" s="88">
        <v>1365</v>
      </c>
      <c r="J30" s="88">
        <v>1465</v>
      </c>
      <c r="K30" s="88">
        <v>1570</v>
      </c>
      <c r="L30" s="88">
        <v>1685</v>
      </c>
      <c r="M30" s="88">
        <v>1805</v>
      </c>
    </row>
    <row r="31" spans="1:13" x14ac:dyDescent="0.2">
      <c r="A31" s="88">
        <v>4000</v>
      </c>
      <c r="B31" s="88">
        <v>870</v>
      </c>
      <c r="C31" s="88">
        <v>940</v>
      </c>
      <c r="D31" s="88">
        <v>1010</v>
      </c>
      <c r="E31" s="88">
        <v>1090</v>
      </c>
      <c r="F31" s="88">
        <v>1165</v>
      </c>
      <c r="G31" s="86"/>
      <c r="H31" s="88">
        <v>4000</v>
      </c>
      <c r="I31" s="88">
        <v>1490</v>
      </c>
      <c r="J31" s="88">
        <v>1605</v>
      </c>
      <c r="K31" s="88">
        <v>1725</v>
      </c>
      <c r="L31" s="88">
        <v>1855</v>
      </c>
      <c r="M31" s="88">
        <v>1975</v>
      </c>
    </row>
    <row r="32" spans="1:13" x14ac:dyDescent="0.2">
      <c r="A32" s="88">
        <v>5000</v>
      </c>
      <c r="B32" s="88">
        <v>955</v>
      </c>
      <c r="C32" s="88">
        <v>1030</v>
      </c>
      <c r="D32" s="88">
        <v>1110</v>
      </c>
      <c r="E32" s="88">
        <v>1195</v>
      </c>
      <c r="F32" s="88">
        <v>1275</v>
      </c>
      <c r="G32" s="86"/>
      <c r="H32" s="88">
        <v>5000</v>
      </c>
      <c r="I32" s="88">
        <v>1635</v>
      </c>
      <c r="J32" s="88">
        <v>1765</v>
      </c>
      <c r="K32" s="88">
        <v>1900</v>
      </c>
      <c r="L32" s="88">
        <v>2035</v>
      </c>
      <c r="M32" s="88">
        <v>2175</v>
      </c>
    </row>
    <row r="33" spans="1:13" x14ac:dyDescent="0.2">
      <c r="A33" s="88">
        <v>6000</v>
      </c>
      <c r="B33" s="88">
        <v>1050</v>
      </c>
      <c r="C33" s="88">
        <v>1130</v>
      </c>
      <c r="D33" s="88">
        <v>1220</v>
      </c>
      <c r="E33" s="88">
        <v>1310</v>
      </c>
      <c r="F33" s="88">
        <v>1400</v>
      </c>
      <c r="G33" s="86"/>
      <c r="H33" s="88">
        <v>6000</v>
      </c>
      <c r="I33" s="88">
        <v>1800</v>
      </c>
      <c r="J33" s="88">
        <v>1940</v>
      </c>
      <c r="K33" s="88">
        <v>2090</v>
      </c>
      <c r="L33" s="88">
        <v>2240</v>
      </c>
      <c r="M33" s="88">
        <v>2395</v>
      </c>
    </row>
    <row r="34" spans="1:13" x14ac:dyDescent="0.2">
      <c r="A34" s="88">
        <v>7000</v>
      </c>
      <c r="B34" s="88">
        <v>1150</v>
      </c>
      <c r="C34" s="88">
        <v>1245</v>
      </c>
      <c r="D34" s="88">
        <v>1340</v>
      </c>
      <c r="E34" s="88">
        <v>1435</v>
      </c>
      <c r="F34" s="88">
        <v>1540</v>
      </c>
      <c r="G34" s="86"/>
      <c r="H34" s="88">
        <v>7000</v>
      </c>
      <c r="I34" s="88">
        <v>1985</v>
      </c>
      <c r="J34" s="88">
        <v>2145</v>
      </c>
      <c r="K34" s="88">
        <v>2305</v>
      </c>
      <c r="L34" s="88">
        <v>2475</v>
      </c>
      <c r="M34" s="88">
        <v>2650</v>
      </c>
    </row>
    <row r="35" spans="1:13" x14ac:dyDescent="0.2">
      <c r="A35" s="88">
        <v>8000</v>
      </c>
      <c r="B35" s="88">
        <v>1270</v>
      </c>
      <c r="C35" s="88">
        <v>1370</v>
      </c>
      <c r="D35" s="88">
        <v>1475</v>
      </c>
      <c r="E35" s="88">
        <v>1580</v>
      </c>
      <c r="F35" s="88">
        <v>1695</v>
      </c>
      <c r="G35" s="86"/>
      <c r="H35" s="88">
        <v>8000</v>
      </c>
      <c r="I35" s="88">
        <v>2195</v>
      </c>
      <c r="J35" s="88">
        <v>2375</v>
      </c>
      <c r="K35" s="88">
        <v>2555</v>
      </c>
      <c r="L35" s="88">
        <v>2745</v>
      </c>
      <c r="M35" s="88">
        <v>2950</v>
      </c>
    </row>
  </sheetData>
  <mergeCells count="8">
    <mergeCell ref="A25:F25"/>
    <mergeCell ref="H25:M25"/>
    <mergeCell ref="O1:T1"/>
    <mergeCell ref="V1:AA1"/>
    <mergeCell ref="A1:F1"/>
    <mergeCell ref="H1:M1"/>
    <mergeCell ref="A13:F13"/>
    <mergeCell ref="H13:M13"/>
  </mergeCells>
  <pageMargins left="0.7" right="0.7" top="0.75" bottom="0.75" header="0.3" footer="0.3"/>
  <pageSetup orientation="portrait" r:id="rId1"/>
  <colBreaks count="3" manualBreakCount="3">
    <brk id="7" max="1048575" man="1"/>
    <brk id="14" max="1048575" man="1"/>
    <brk id="2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workbookViewId="0">
      <selection activeCell="D10" sqref="D10"/>
    </sheetView>
  </sheetViews>
  <sheetFormatPr defaultRowHeight="15" x14ac:dyDescent="0.2"/>
  <cols>
    <col min="1" max="1" width="19.44140625" customWidth="1"/>
    <col min="3" max="3" width="8.44140625" customWidth="1"/>
    <col min="4" max="4" width="23.21875" customWidth="1"/>
  </cols>
  <sheetData>
    <row r="1" spans="1:4" x14ac:dyDescent="0.2">
      <c r="A1" s="149" t="s">
        <v>95</v>
      </c>
      <c r="B1" s="149"/>
      <c r="C1" s="149"/>
      <c r="D1" s="149"/>
    </row>
    <row r="2" spans="1:4" x14ac:dyDescent="0.2">
      <c r="A2" s="67" t="s">
        <v>30</v>
      </c>
      <c r="B2" s="67" t="s">
        <v>3</v>
      </c>
      <c r="C2" s="67" t="s">
        <v>37</v>
      </c>
      <c r="D2" s="67" t="s">
        <v>39</v>
      </c>
    </row>
    <row r="3" spans="1:4" x14ac:dyDescent="0.2">
      <c r="A3" s="72" t="s">
        <v>48</v>
      </c>
      <c r="B3" s="48"/>
      <c r="C3" s="48"/>
      <c r="D3" s="48"/>
    </row>
    <row r="4" spans="1:4" x14ac:dyDescent="0.2">
      <c r="A4" s="73" t="s">
        <v>0</v>
      </c>
      <c r="B4" s="72">
        <f>'Weight and Balance'!C13</f>
        <v>2530</v>
      </c>
      <c r="C4" s="73" t="s">
        <v>38</v>
      </c>
      <c r="D4" s="73" t="s">
        <v>40</v>
      </c>
    </row>
    <row r="5" spans="1:4" x14ac:dyDescent="0.2">
      <c r="A5" s="68" t="s">
        <v>41</v>
      </c>
      <c r="B5" s="84">
        <v>2550</v>
      </c>
      <c r="C5" s="73" t="s">
        <v>38</v>
      </c>
      <c r="D5" s="73" t="s">
        <v>51</v>
      </c>
    </row>
    <row r="6" spans="1:4" x14ac:dyDescent="0.2">
      <c r="A6" s="68" t="s">
        <v>63</v>
      </c>
      <c r="B6" s="89" t="s">
        <v>64</v>
      </c>
      <c r="C6" s="73"/>
      <c r="D6" s="73"/>
    </row>
    <row r="7" spans="1:4" x14ac:dyDescent="0.2">
      <c r="A7" s="72" t="s">
        <v>47</v>
      </c>
      <c r="B7" s="73"/>
      <c r="C7" s="73"/>
      <c r="D7" s="48"/>
    </row>
    <row r="8" spans="1:4" x14ac:dyDescent="0.2">
      <c r="A8" s="68" t="s">
        <v>46</v>
      </c>
      <c r="B8" s="27">
        <v>5000</v>
      </c>
      <c r="C8" s="69" t="s">
        <v>33</v>
      </c>
      <c r="D8" s="48"/>
    </row>
    <row r="9" spans="1:4" x14ac:dyDescent="0.2">
      <c r="A9" s="68" t="s">
        <v>67</v>
      </c>
      <c r="B9" s="27">
        <v>16</v>
      </c>
      <c r="C9" s="90" t="s">
        <v>72</v>
      </c>
      <c r="D9" s="48"/>
    </row>
    <row r="10" spans="1:4" x14ac:dyDescent="0.2">
      <c r="A10" s="68" t="s">
        <v>62</v>
      </c>
      <c r="B10" s="27" t="s">
        <v>68</v>
      </c>
      <c r="C10" s="69"/>
      <c r="D10" s="48"/>
    </row>
    <row r="11" spans="1:4" x14ac:dyDescent="0.2">
      <c r="A11" s="68" t="s">
        <v>45</v>
      </c>
      <c r="B11" s="27">
        <v>647</v>
      </c>
      <c r="C11" s="69" t="s">
        <v>34</v>
      </c>
      <c r="D11" s="48"/>
    </row>
    <row r="12" spans="1:4" x14ac:dyDescent="0.2">
      <c r="A12" s="68" t="s">
        <v>69</v>
      </c>
      <c r="B12" s="27">
        <v>0</v>
      </c>
      <c r="C12" s="90" t="s">
        <v>72</v>
      </c>
      <c r="D12" s="48"/>
    </row>
    <row r="13" spans="1:4" x14ac:dyDescent="0.2">
      <c r="A13" s="68" t="s">
        <v>70</v>
      </c>
      <c r="B13" s="27">
        <v>20</v>
      </c>
      <c r="C13" s="69" t="s">
        <v>71</v>
      </c>
      <c r="D13" s="48"/>
    </row>
    <row r="14" spans="1:4" x14ac:dyDescent="0.2">
      <c r="A14" s="68" t="s">
        <v>75</v>
      </c>
      <c r="B14" s="70">
        <f>IF(B12-18&lt;0,B12+18,B12-18)-B9</f>
        <v>2</v>
      </c>
      <c r="C14" s="90" t="s">
        <v>72</v>
      </c>
      <c r="D14" s="48"/>
    </row>
    <row r="15" spans="1:4" x14ac:dyDescent="0.2">
      <c r="A15" s="68" t="s">
        <v>74</v>
      </c>
      <c r="B15" s="92">
        <f>B13*COS(B14*10/360*2*PI())</f>
        <v>18.79385241571817</v>
      </c>
      <c r="C15" s="69" t="s">
        <v>71</v>
      </c>
      <c r="D15" s="73" t="str">
        <f>IF(B15&lt;-10,"too large a tailwind","negative indicates a tailwind")</f>
        <v>negative indicates a tailwind</v>
      </c>
    </row>
    <row r="16" spans="1:4" x14ac:dyDescent="0.2">
      <c r="A16" s="68" t="s">
        <v>73</v>
      </c>
      <c r="B16" s="92">
        <f>B13*SIN(B14*10/360*2*PI())</f>
        <v>6.840402866513374</v>
      </c>
      <c r="C16" s="69" t="s">
        <v>71</v>
      </c>
      <c r="D16" s="48"/>
    </row>
    <row r="17" spans="1:4" x14ac:dyDescent="0.2">
      <c r="A17" s="68"/>
    </row>
    <row r="18" spans="1:4" x14ac:dyDescent="0.2">
      <c r="A18" s="80" t="s">
        <v>35</v>
      </c>
      <c r="B18" s="81">
        <v>25</v>
      </c>
      <c r="C18" s="82" t="s">
        <v>36</v>
      </c>
      <c r="D18" s="48"/>
    </row>
    <row r="19" spans="1:4" x14ac:dyDescent="0.2">
      <c r="A19" s="68" t="s">
        <v>49</v>
      </c>
      <c r="B19" s="83">
        <v>30</v>
      </c>
      <c r="C19" s="71" t="s">
        <v>36</v>
      </c>
      <c r="D19" s="73" t="s">
        <v>50</v>
      </c>
    </row>
    <row r="20" spans="1:4" x14ac:dyDescent="0.2">
      <c r="A20" s="68" t="s">
        <v>42</v>
      </c>
      <c r="B20" s="75">
        <v>28.92</v>
      </c>
      <c r="C20" s="73" t="s">
        <v>43</v>
      </c>
      <c r="D20" s="48"/>
    </row>
    <row r="21" spans="1:4" x14ac:dyDescent="0.2">
      <c r="A21" s="74" t="s">
        <v>44</v>
      </c>
      <c r="B21" s="48">
        <f>(29.92-B20)*1000+B11</f>
        <v>1647</v>
      </c>
      <c r="C21" s="76" t="s">
        <v>33</v>
      </c>
      <c r="D21" s="48"/>
    </row>
    <row r="22" spans="1:4" ht="25.5" x14ac:dyDescent="0.2">
      <c r="A22" s="68" t="s">
        <v>52</v>
      </c>
      <c r="B22" s="83">
        <v>2000</v>
      </c>
      <c r="C22" s="69" t="s">
        <v>33</v>
      </c>
      <c r="D22" s="77" t="s">
        <v>57</v>
      </c>
    </row>
    <row r="23" spans="1:4" x14ac:dyDescent="0.2">
      <c r="A23" s="68"/>
      <c r="B23" s="69"/>
      <c r="C23" s="69"/>
      <c r="D23" s="29"/>
    </row>
    <row r="24" spans="1:4" x14ac:dyDescent="0.2">
      <c r="A24" s="68" t="s">
        <v>0</v>
      </c>
      <c r="B24" s="70">
        <f>B5</f>
        <v>2550</v>
      </c>
      <c r="C24" s="68" t="s">
        <v>38</v>
      </c>
      <c r="D24" s="29"/>
    </row>
    <row r="25" spans="1:4" x14ac:dyDescent="0.2">
      <c r="A25" s="68" t="s">
        <v>53</v>
      </c>
      <c r="B25" s="70">
        <f>B19</f>
        <v>30</v>
      </c>
      <c r="C25" s="78" t="s">
        <v>36</v>
      </c>
      <c r="D25" s="29"/>
    </row>
    <row r="26" spans="1:4" x14ac:dyDescent="0.2">
      <c r="A26" s="68" t="s">
        <v>44</v>
      </c>
      <c r="B26" s="70">
        <f>B22</f>
        <v>2000</v>
      </c>
      <c r="C26" s="78" t="s">
        <v>33</v>
      </c>
      <c r="D26" s="29"/>
    </row>
    <row r="27" spans="1:4" x14ac:dyDescent="0.2">
      <c r="A27" s="68" t="s">
        <v>65</v>
      </c>
      <c r="B27" s="33">
        <v>1285</v>
      </c>
      <c r="C27" s="71" t="s">
        <v>33</v>
      </c>
      <c r="D27" s="85" t="s">
        <v>55</v>
      </c>
    </row>
    <row r="28" spans="1:4" x14ac:dyDescent="0.2">
      <c r="A28" s="68" t="s">
        <v>54</v>
      </c>
      <c r="B28" s="33">
        <v>2190</v>
      </c>
      <c r="C28" s="71" t="s">
        <v>33</v>
      </c>
      <c r="D28" s="85" t="s">
        <v>55</v>
      </c>
    </row>
    <row r="29" spans="1:4" x14ac:dyDescent="0.2">
      <c r="A29" s="68" t="s">
        <v>76</v>
      </c>
      <c r="B29" s="70">
        <f>IF(B6="0°",1.1,1)</f>
        <v>1.1000000000000001</v>
      </c>
      <c r="C29" s="71"/>
      <c r="D29" s="85"/>
    </row>
    <row r="30" spans="1:4" x14ac:dyDescent="0.2">
      <c r="A30" s="68" t="s">
        <v>77</v>
      </c>
      <c r="B30" s="91">
        <f>1-IF(B15&gt;0,(B15/9)*0.1,(B15/2)*0.1)</f>
        <v>0.79117941760313149</v>
      </c>
      <c r="C30" s="71"/>
      <c r="D30" s="85"/>
    </row>
    <row r="31" spans="1:4" x14ac:dyDescent="0.2">
      <c r="A31" s="68" t="s">
        <v>78</v>
      </c>
      <c r="B31" s="92">
        <f>IF(B10="GRASS",1.15,1)</f>
        <v>1</v>
      </c>
      <c r="C31" s="71"/>
      <c r="D31" s="85"/>
    </row>
    <row r="32" spans="1:4" x14ac:dyDescent="0.2">
      <c r="A32" s="80" t="s">
        <v>66</v>
      </c>
      <c r="B32" s="93">
        <f>B27*B29*B30*B31</f>
        <v>1118.3321067820266</v>
      </c>
      <c r="C32" s="82" t="s">
        <v>33</v>
      </c>
    </row>
    <row r="33" spans="1:3" ht="25.5" x14ac:dyDescent="0.2">
      <c r="A33" s="94" t="s">
        <v>79</v>
      </c>
      <c r="B33" s="93">
        <f>B28*B29*B30</f>
        <v>1905.9512170059438</v>
      </c>
      <c r="C33" s="82" t="s">
        <v>33</v>
      </c>
    </row>
    <row r="35" spans="1:3" x14ac:dyDescent="0.2">
      <c r="A35" s="68" t="s">
        <v>56</v>
      </c>
      <c r="B35" s="79" t="str">
        <f>IF(B8&gt;B27,"YES","NO")</f>
        <v>YES</v>
      </c>
    </row>
  </sheetData>
  <mergeCells count="1">
    <mergeCell ref="A1:D1"/>
  </mergeCells>
  <conditionalFormatting sqref="B19">
    <cfRule type="cellIs" dxfId="7" priority="6" operator="lessThan">
      <formula>$B$18</formula>
    </cfRule>
  </conditionalFormatting>
  <conditionalFormatting sqref="B22">
    <cfRule type="cellIs" dxfId="6" priority="5" operator="lessThan">
      <formula>$B$21</formula>
    </cfRule>
  </conditionalFormatting>
  <conditionalFormatting sqref="B5">
    <cfRule type="cellIs" dxfId="5" priority="4" operator="lessThan">
      <formula>$B$4</formula>
    </cfRule>
  </conditionalFormatting>
  <conditionalFormatting sqref="B6">
    <cfRule type="cellIs" dxfId="4" priority="3" operator="lessThan">
      <formula>$B$4</formula>
    </cfRule>
  </conditionalFormatting>
  <conditionalFormatting sqref="B15">
    <cfRule type="cellIs" dxfId="3" priority="2" operator="lessThan">
      <formula>-10</formula>
    </cfRule>
  </conditionalFormatting>
  <conditionalFormatting sqref="D15">
    <cfRule type="cellIs" dxfId="2" priority="1" operator="equal">
      <formula>"too large a tailwind"</formula>
    </cfRule>
  </conditionalFormatting>
  <dataValidations disablePrompts="1" count="5">
    <dataValidation type="list" allowBlank="1" showInputMessage="1" showErrorMessage="1" sqref="B5">
      <formula1>"2200, 2400, 2550"</formula1>
    </dataValidation>
    <dataValidation type="list" allowBlank="1" showInputMessage="1" showErrorMessage="1" sqref="B19">
      <formula1>"0,10,20,30,40"</formula1>
    </dataValidation>
    <dataValidation type="list" allowBlank="1" showInputMessage="1" showErrorMessage="1" sqref="B22">
      <formula1>"SL, 1000,2000,3000,4000,5000,6000,7000,8000"</formula1>
    </dataValidation>
    <dataValidation type="list" allowBlank="1" showInputMessage="1" showErrorMessage="1" sqref="B6">
      <formula1>"0°, 10°"</formula1>
    </dataValidation>
    <dataValidation type="list" allowBlank="1" showInputMessage="1" showErrorMessage="1" sqref="B10:B11">
      <formula1>"PVMNT, GRASS"</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19</vt:i4>
      </vt:variant>
    </vt:vector>
  </HeadingPairs>
  <TitlesOfParts>
    <vt:vector size="26" baseType="lpstr">
      <vt:lpstr>Personal Minimums</vt:lpstr>
      <vt:lpstr>Preflight Risk Assessment</vt:lpstr>
      <vt:lpstr>Weight and Balance</vt:lpstr>
      <vt:lpstr>Takeoff</vt:lpstr>
      <vt:lpstr>Landing</vt:lpstr>
      <vt:lpstr>Tables</vt:lpstr>
      <vt:lpstr>Old_Takeoff Roll</vt:lpstr>
      <vt:lpstr>CLR2200_DATA</vt:lpstr>
      <vt:lpstr>CLR2400_DATA</vt:lpstr>
      <vt:lpstr>CLR2550_DATA</vt:lpstr>
      <vt:lpstr>L50CLR</vt:lpstr>
      <vt:lpstr>LGR</vt:lpstr>
      <vt:lpstr>Landing!Print_Area</vt:lpstr>
      <vt:lpstr>'Personal Minimums'!Print_Area</vt:lpstr>
      <vt:lpstr>Tables!Print_Area</vt:lpstr>
      <vt:lpstr>Takeoff!Print_Area</vt:lpstr>
      <vt:lpstr>'Weight and Balance'!Print_Area</vt:lpstr>
      <vt:lpstr>TO2200_ALT</vt:lpstr>
      <vt:lpstr>TO2200_DATA</vt:lpstr>
      <vt:lpstr>TO2200_T</vt:lpstr>
      <vt:lpstr>TO2400_ALT</vt:lpstr>
      <vt:lpstr>TO2400_DATA</vt:lpstr>
      <vt:lpstr>TO2400_T</vt:lpstr>
      <vt:lpstr>TO2550_ALT</vt:lpstr>
      <vt:lpstr>TO2550_DATA</vt:lpstr>
      <vt:lpstr>TO2550_T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Cessna 172S NAV III</dc:title>
  <dc:creator>Admin</dc:creator>
  <cp:lastModifiedBy>Admin</cp:lastModifiedBy>
  <cp:lastPrinted>2021-10-30T16:24:30Z</cp:lastPrinted>
  <dcterms:created xsi:type="dcterms:W3CDTF">2001-08-11T19:39:47Z</dcterms:created>
  <dcterms:modified xsi:type="dcterms:W3CDTF">2021-12-09T20:56:07Z</dcterms:modified>
</cp:coreProperties>
</file>